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heckCompatibility="1" autoCompressPictures="0"/>
  <bookViews>
    <workbookView xWindow="1500" yWindow="480" windowWidth="32440" windowHeight="17120"/>
  </bookViews>
  <sheets>
    <sheet name="Sheet1" sheetId="1" r:id="rId1"/>
    <sheet name="Sheet3" sheetId="3" state="hidden" r:id="rId2"/>
    <sheet name="Sheet2" sheetId="4" r:id="rId3"/>
  </sheets>
  <definedNames>
    <definedName name="AA">Sheet1!$AY$1:$AZ$1</definedName>
    <definedName name="AB">Sheet1!$AZ$6</definedName>
    <definedName name="_xlnm.Print_Area" localSheetId="0">Sheet1!$A$1:$BA$85</definedName>
    <definedName name="_xlnm.Print_Titles" localSheetId="0">Sheet1!$1:$5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82" i="1" l="1"/>
  <c r="BD28" i="1"/>
  <c r="BD58" i="1"/>
  <c r="BD60" i="1"/>
  <c r="BD79" i="1"/>
  <c r="BD84" i="1"/>
  <c r="BC75" i="1"/>
  <c r="BC76" i="1"/>
  <c r="BC77" i="1"/>
  <c r="BC78" i="1"/>
  <c r="BC81" i="1"/>
  <c r="BC80" i="1"/>
  <c r="BC84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60" i="1"/>
  <c r="BC28" i="1"/>
  <c r="BC58" i="1"/>
  <c r="BC60" i="1"/>
  <c r="BA50" i="1"/>
  <c r="AU50" i="1"/>
  <c r="AQ50" i="1"/>
  <c r="BA27" i="1"/>
  <c r="BA26" i="1"/>
  <c r="BA25" i="1"/>
  <c r="BA24" i="1"/>
  <c r="BA23" i="1"/>
  <c r="BA22" i="1"/>
  <c r="AI31" i="1"/>
  <c r="AZ58" i="1"/>
  <c r="AZ28" i="1"/>
  <c r="AZ60" i="1"/>
  <c r="AZ79" i="1"/>
  <c r="AZ84" i="1"/>
  <c r="AY82" i="1"/>
  <c r="AY75" i="1"/>
  <c r="AY80" i="1"/>
  <c r="AY76" i="1"/>
  <c r="AY77" i="1"/>
  <c r="AY78" i="1"/>
  <c r="AY81" i="1"/>
  <c r="AY84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8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1" i="1"/>
  <c r="BA52" i="1"/>
  <c r="BA53" i="1"/>
  <c r="BA54" i="1"/>
  <c r="BA55" i="1"/>
  <c r="BA56" i="1"/>
  <c r="BA57" i="1"/>
  <c r="BA58" i="1"/>
  <c r="BA60" i="1"/>
  <c r="AY28" i="1"/>
  <c r="AY58" i="1"/>
  <c r="AY60" i="1"/>
  <c r="F67" i="1"/>
  <c r="I67" i="1"/>
  <c r="L25" i="1"/>
  <c r="L67" i="1"/>
  <c r="O67" i="1"/>
  <c r="R67" i="1"/>
  <c r="U67" i="1"/>
  <c r="X67" i="1"/>
  <c r="AA25" i="1"/>
  <c r="AA67" i="1"/>
  <c r="AD25" i="1"/>
  <c r="AD67" i="1"/>
  <c r="AG25" i="1"/>
  <c r="AG67" i="1"/>
  <c r="AJ25" i="1"/>
  <c r="AJ67" i="1"/>
  <c r="AM25" i="1"/>
  <c r="AM23" i="1"/>
  <c r="AM24" i="1"/>
  <c r="AJ23" i="1"/>
  <c r="AD23" i="1"/>
  <c r="AD24" i="1"/>
  <c r="AA23" i="1"/>
  <c r="AA24" i="1"/>
  <c r="L23" i="1"/>
  <c r="L24" i="1"/>
  <c r="L28" i="1"/>
  <c r="L58" i="1"/>
  <c r="L60" i="1"/>
  <c r="F28" i="1"/>
  <c r="F58" i="1"/>
  <c r="F60" i="1"/>
  <c r="F66" i="1"/>
  <c r="I23" i="1"/>
  <c r="I24" i="1"/>
  <c r="I28" i="1"/>
  <c r="I58" i="1"/>
  <c r="I60" i="1"/>
  <c r="I66" i="1"/>
  <c r="L66" i="1"/>
  <c r="K42" i="1"/>
  <c r="O28" i="1"/>
  <c r="O58" i="1"/>
  <c r="O60" i="1"/>
  <c r="O66" i="1"/>
  <c r="R28" i="1"/>
  <c r="R58" i="1"/>
  <c r="R60" i="1"/>
  <c r="R66" i="1"/>
  <c r="U28" i="1"/>
  <c r="U58" i="1"/>
  <c r="U60" i="1"/>
  <c r="U66" i="1"/>
  <c r="X28" i="1"/>
  <c r="X58" i="1"/>
  <c r="X60" i="1"/>
  <c r="X66" i="1"/>
  <c r="AA58" i="1"/>
  <c r="AU48" i="1"/>
  <c r="AQ48" i="1"/>
  <c r="AP48" i="1"/>
  <c r="AU19" i="1"/>
  <c r="AQ19" i="1"/>
  <c r="AP19" i="1"/>
  <c r="AU25" i="1"/>
  <c r="AU24" i="1"/>
  <c r="AU21" i="1"/>
  <c r="AU20" i="1"/>
  <c r="AU18" i="1"/>
  <c r="AP8" i="1"/>
  <c r="AP9" i="1"/>
  <c r="AP10" i="1"/>
  <c r="AP11" i="1"/>
  <c r="AP12" i="1"/>
  <c r="AP13" i="1"/>
  <c r="AP14" i="1"/>
  <c r="AP15" i="1"/>
  <c r="AP16" i="1"/>
  <c r="AP17" i="1"/>
  <c r="AP18" i="1"/>
  <c r="AP20" i="1"/>
  <c r="AP21" i="1"/>
  <c r="AP22" i="1"/>
  <c r="AP23" i="1"/>
  <c r="AP24" i="1"/>
  <c r="AP25" i="1"/>
  <c r="AP26" i="1"/>
  <c r="AP27" i="1"/>
  <c r="AP28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9" i="1"/>
  <c r="AP51" i="1"/>
  <c r="AP52" i="1"/>
  <c r="AP53" i="1"/>
  <c r="AP54" i="1"/>
  <c r="AP55" i="1"/>
  <c r="AP56" i="1"/>
  <c r="AP57" i="1"/>
  <c r="AP58" i="1"/>
  <c r="AP60" i="1"/>
  <c r="AQ8" i="1"/>
  <c r="AQ9" i="1"/>
  <c r="AQ10" i="1"/>
  <c r="AQ11" i="1"/>
  <c r="AQ12" i="1"/>
  <c r="AQ13" i="1"/>
  <c r="AQ14" i="1"/>
  <c r="AQ15" i="1"/>
  <c r="AQ16" i="1"/>
  <c r="AQ17" i="1"/>
  <c r="AQ18" i="1"/>
  <c r="AQ20" i="1"/>
  <c r="AQ21" i="1"/>
  <c r="AQ22" i="1"/>
  <c r="AD28" i="1"/>
  <c r="AD58" i="1"/>
  <c r="AD60" i="1"/>
  <c r="AG28" i="1"/>
  <c r="AG58" i="1"/>
  <c r="AG60" i="1"/>
  <c r="AJ28" i="1"/>
  <c r="AJ58" i="1"/>
  <c r="AJ60" i="1"/>
  <c r="AQ25" i="1"/>
  <c r="AQ26" i="1"/>
  <c r="AQ27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9" i="1"/>
  <c r="AQ51" i="1"/>
  <c r="AQ52" i="1"/>
  <c r="AQ53" i="1"/>
  <c r="AQ54" i="1"/>
  <c r="AQ55" i="1"/>
  <c r="AQ56" i="1"/>
  <c r="AQ57" i="1"/>
  <c r="AQ58" i="1"/>
  <c r="E28" i="1"/>
  <c r="E58" i="1"/>
  <c r="E60" i="1"/>
  <c r="E63" i="1"/>
  <c r="H28" i="1"/>
  <c r="H58" i="1"/>
  <c r="H60" i="1"/>
  <c r="H63" i="1"/>
  <c r="K28" i="1"/>
  <c r="K58" i="1"/>
  <c r="K60" i="1"/>
  <c r="K63" i="1"/>
  <c r="N28" i="1"/>
  <c r="N58" i="1"/>
  <c r="N60" i="1"/>
  <c r="N63" i="1"/>
  <c r="E64" i="1"/>
  <c r="H64" i="1"/>
  <c r="K64" i="1"/>
  <c r="N64" i="1"/>
  <c r="Q28" i="1"/>
  <c r="Q58" i="1"/>
  <c r="Q60" i="1"/>
  <c r="Q63" i="1"/>
  <c r="T28" i="1"/>
  <c r="T58" i="1"/>
  <c r="T60" i="1"/>
  <c r="T63" i="1"/>
  <c r="W28" i="1"/>
  <c r="W58" i="1"/>
  <c r="W60" i="1"/>
  <c r="W63" i="1"/>
  <c r="Z28" i="1"/>
  <c r="Z58" i="1"/>
  <c r="Z60" i="1"/>
  <c r="Z63" i="1"/>
  <c r="AC28" i="1"/>
  <c r="AC58" i="1"/>
  <c r="AC60" i="1"/>
  <c r="AC63" i="1"/>
  <c r="AF28" i="1"/>
  <c r="AF58" i="1"/>
  <c r="AF60" i="1"/>
  <c r="AF63" i="1"/>
  <c r="AI28" i="1"/>
  <c r="AI58" i="1"/>
  <c r="AI60" i="1"/>
  <c r="AI63" i="1"/>
  <c r="AL28" i="1"/>
  <c r="AL58" i="1"/>
  <c r="AL60" i="1"/>
  <c r="AL63" i="1"/>
  <c r="E65" i="1"/>
  <c r="H65" i="1"/>
  <c r="K65" i="1"/>
  <c r="N65" i="1"/>
  <c r="Q65" i="1"/>
  <c r="T65" i="1"/>
  <c r="W65" i="1"/>
  <c r="Z65" i="1"/>
  <c r="AC65" i="1"/>
  <c r="AF65" i="1"/>
  <c r="AI65" i="1"/>
  <c r="AL65" i="1"/>
  <c r="AL68" i="1"/>
  <c r="AM28" i="1"/>
  <c r="AM58" i="1"/>
  <c r="AM60" i="1"/>
  <c r="AM67" i="1"/>
  <c r="AU15" i="1"/>
  <c r="AU57" i="1"/>
  <c r="AU56" i="1"/>
  <c r="AU55" i="1"/>
  <c r="AU54" i="1"/>
  <c r="AU52" i="1"/>
  <c r="AU51" i="1"/>
  <c r="AU49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0" i="1"/>
  <c r="G4" i="3"/>
  <c r="J4" i="3"/>
  <c r="G5" i="3"/>
  <c r="J5" i="3"/>
  <c r="G6" i="3"/>
  <c r="J6" i="3"/>
  <c r="G7" i="3"/>
  <c r="J7" i="3"/>
  <c r="G8" i="3"/>
  <c r="J8" i="3"/>
  <c r="G9" i="3"/>
  <c r="J9" i="3"/>
  <c r="G10" i="3"/>
  <c r="J10" i="3"/>
  <c r="G11" i="3"/>
  <c r="J11" i="3"/>
  <c r="G12" i="3"/>
  <c r="J12" i="3"/>
  <c r="G13" i="3"/>
  <c r="J13" i="3"/>
  <c r="G14" i="3"/>
  <c r="J14" i="3"/>
  <c r="G15" i="3"/>
  <c r="J15" i="3"/>
  <c r="G16" i="3"/>
  <c r="J16" i="3"/>
  <c r="G17" i="3"/>
  <c r="J17" i="3"/>
  <c r="G18" i="3"/>
  <c r="J18" i="3"/>
  <c r="G19" i="3"/>
  <c r="H19" i="3"/>
  <c r="H20" i="3"/>
  <c r="J19" i="3"/>
  <c r="G23" i="3"/>
  <c r="J23" i="3"/>
  <c r="G24" i="3"/>
  <c r="G25" i="3"/>
  <c r="J25" i="3"/>
  <c r="G26" i="3"/>
  <c r="J26" i="3"/>
  <c r="G27" i="3"/>
  <c r="J27" i="3"/>
  <c r="G28" i="3"/>
  <c r="J28" i="3"/>
  <c r="G29" i="3"/>
  <c r="J29" i="3"/>
  <c r="G30" i="3"/>
  <c r="J30" i="3"/>
  <c r="G31" i="3"/>
  <c r="J31" i="3"/>
  <c r="G32" i="3"/>
  <c r="G33" i="3"/>
  <c r="J33" i="3"/>
  <c r="G34" i="3"/>
  <c r="J34" i="3"/>
  <c r="G35" i="3"/>
  <c r="J35" i="3"/>
  <c r="G36" i="3"/>
  <c r="J36" i="3"/>
  <c r="G37" i="3"/>
  <c r="J37" i="3"/>
  <c r="G38" i="3"/>
  <c r="J38" i="3"/>
  <c r="G39" i="3"/>
  <c r="J39" i="3"/>
  <c r="G40" i="3"/>
  <c r="J40" i="3"/>
  <c r="G41" i="3"/>
  <c r="J41" i="3"/>
  <c r="G42" i="3"/>
  <c r="J42" i="3"/>
  <c r="G43" i="3"/>
  <c r="J43" i="3"/>
  <c r="G44" i="3"/>
  <c r="J44" i="3"/>
  <c r="G45" i="3"/>
  <c r="J45" i="3"/>
  <c r="G46" i="3"/>
  <c r="J46" i="3"/>
  <c r="G47" i="3"/>
  <c r="J47" i="3"/>
  <c r="G48" i="3"/>
  <c r="J48" i="3"/>
  <c r="G49" i="3"/>
  <c r="J49" i="3"/>
  <c r="G50" i="3"/>
  <c r="J50" i="3"/>
  <c r="G51" i="3"/>
  <c r="J51" i="3"/>
  <c r="G52" i="3"/>
  <c r="J52" i="3"/>
  <c r="F20" i="3"/>
  <c r="F53" i="3"/>
  <c r="F55" i="3"/>
  <c r="E20" i="3"/>
  <c r="E53" i="3"/>
  <c r="E55" i="3"/>
  <c r="D20" i="3"/>
  <c r="D53" i="3"/>
  <c r="D55" i="3"/>
  <c r="C20" i="3"/>
  <c r="C53" i="3"/>
  <c r="C55" i="3"/>
  <c r="B20" i="3"/>
  <c r="B53" i="3"/>
  <c r="E68" i="1"/>
  <c r="AK60" i="1"/>
  <c r="AH60" i="1"/>
  <c r="AE60" i="1"/>
  <c r="AB60" i="1"/>
  <c r="Y60" i="1"/>
  <c r="V58" i="1"/>
  <c r="V60" i="1"/>
  <c r="S58" i="1"/>
  <c r="S60" i="1"/>
  <c r="P58" i="1"/>
  <c r="P60" i="1"/>
  <c r="AT58" i="1"/>
  <c r="AS28" i="1"/>
  <c r="AU31" i="1"/>
  <c r="AU27" i="1"/>
  <c r="AU26" i="1"/>
  <c r="AU14" i="1"/>
  <c r="AU17" i="1"/>
  <c r="AU16" i="1"/>
  <c r="AU13" i="1"/>
  <c r="AU12" i="1"/>
  <c r="AU11" i="1"/>
  <c r="AU10" i="1"/>
  <c r="AU9" i="1"/>
  <c r="AU8" i="1"/>
  <c r="AT28" i="1"/>
  <c r="AT60" i="1"/>
  <c r="I68" i="1"/>
  <c r="K68" i="1"/>
  <c r="H32" i="3"/>
  <c r="H53" i="3"/>
  <c r="H55" i="3"/>
  <c r="J24" i="3"/>
  <c r="G53" i="3"/>
  <c r="AS58" i="1"/>
  <c r="AS60" i="1"/>
  <c r="AU53" i="1"/>
  <c r="AU58" i="1"/>
  <c r="K71" i="1"/>
  <c r="H71" i="1"/>
  <c r="H68" i="1"/>
  <c r="F68" i="1"/>
  <c r="B55" i="3"/>
  <c r="J20" i="3"/>
  <c r="G20" i="3"/>
  <c r="G55" i="3"/>
  <c r="AU28" i="1"/>
  <c r="E71" i="1"/>
  <c r="J32" i="3"/>
  <c r="AU60" i="1"/>
  <c r="J53" i="3"/>
  <c r="J55" i="3"/>
  <c r="L68" i="1"/>
  <c r="N68" i="1"/>
  <c r="N71" i="1"/>
  <c r="Q68" i="1"/>
  <c r="Q71" i="1"/>
  <c r="O68" i="1"/>
  <c r="T71" i="1"/>
  <c r="T68" i="1"/>
  <c r="R68" i="1"/>
  <c r="U68" i="1"/>
  <c r="W71" i="1"/>
  <c r="W68" i="1"/>
  <c r="X68" i="1"/>
  <c r="Z68" i="1"/>
  <c r="Z71" i="1"/>
  <c r="AC71" i="1"/>
  <c r="AC68" i="1"/>
  <c r="AF71" i="1"/>
  <c r="AF68" i="1"/>
  <c r="AI71" i="1"/>
  <c r="AI68" i="1"/>
  <c r="AL71" i="1"/>
  <c r="AA28" i="1"/>
  <c r="AA60" i="1"/>
  <c r="AA66" i="1"/>
  <c r="AQ24" i="1"/>
  <c r="AD66" i="1"/>
  <c r="AG66" i="1"/>
  <c r="AJ66" i="1"/>
  <c r="AM66" i="1"/>
  <c r="AM68" i="1"/>
  <c r="AQ23" i="1"/>
  <c r="AQ28" i="1"/>
  <c r="AQ60" i="1"/>
  <c r="AQ70" i="1"/>
  <c r="AA68" i="1"/>
  <c r="AD68" i="1"/>
  <c r="AG68" i="1"/>
  <c r="AJ68" i="1"/>
</calcChain>
</file>

<file path=xl/comments1.xml><?xml version="1.0" encoding="utf-8"?>
<comments xmlns="http://schemas.openxmlformats.org/spreadsheetml/2006/main">
  <authors>
    <author>CBRE</author>
  </authors>
  <commentList>
    <comment ref="AA24" authorId="0">
      <text>
        <r>
          <rPr>
            <b/>
            <sz val="9"/>
            <color indexed="81"/>
            <rFont val="Tahoma"/>
            <charset val="1"/>
          </rPr>
          <t>CBRE:</t>
        </r>
        <r>
          <rPr>
            <sz val="9"/>
            <color indexed="81"/>
            <rFont val="Tahoma"/>
            <charset val="1"/>
          </rPr>
          <t xml:space="preserve">
historicasl $12.43 adjustment
</t>
        </r>
      </text>
    </comment>
  </commentList>
</comments>
</file>

<file path=xl/sharedStrings.xml><?xml version="1.0" encoding="utf-8"?>
<sst xmlns="http://schemas.openxmlformats.org/spreadsheetml/2006/main" count="225" uniqueCount="157">
  <si>
    <t>General Fund</t>
  </si>
  <si>
    <t>Operating CD</t>
  </si>
  <si>
    <t>Piano Maintenance account</t>
  </si>
  <si>
    <t>Scholarship Money Market</t>
  </si>
  <si>
    <t>Scholarship Mutual Funds</t>
  </si>
  <si>
    <t>Expenses</t>
  </si>
  <si>
    <t>Operating</t>
  </si>
  <si>
    <t>Scholarship</t>
  </si>
  <si>
    <t>Dues</t>
  </si>
  <si>
    <t>Evaluations</t>
  </si>
  <si>
    <t>Total</t>
  </si>
  <si>
    <t>Scholarship Contributions</t>
  </si>
  <si>
    <t>Keynotes</t>
  </si>
  <si>
    <t>Social/meals</t>
  </si>
  <si>
    <t>Income</t>
  </si>
  <si>
    <t>Composing Student Awards</t>
  </si>
  <si>
    <t>Composing Student expenses</t>
  </si>
  <si>
    <t>Performance Solo Awards</t>
  </si>
  <si>
    <t>Performance Duet Awards</t>
  </si>
  <si>
    <t>Performance expenses</t>
  </si>
  <si>
    <t>Officer Expense</t>
  </si>
  <si>
    <t>Donation to Scholarship</t>
  </si>
  <si>
    <t>Piano Tuning</t>
  </si>
  <si>
    <t>Publicity</t>
  </si>
  <si>
    <t>Sunday Recital-GPS-(program, rental)</t>
  </si>
  <si>
    <t>Year Book</t>
  </si>
  <si>
    <t>Membership/Packets</t>
  </si>
  <si>
    <t>Competition-student composing</t>
  </si>
  <si>
    <t>Misc.</t>
  </si>
  <si>
    <t xml:space="preserve">Website </t>
  </si>
  <si>
    <t>Competition-performance-duet</t>
  </si>
  <si>
    <t>Competition-performance-solo</t>
  </si>
  <si>
    <t>Donations/Awards</t>
  </si>
  <si>
    <t>Mailings/keynotes/early yearbook</t>
  </si>
  <si>
    <t>Ad revenue</t>
  </si>
  <si>
    <t>Donations to other organitions</t>
  </si>
  <si>
    <t>Composing-Teacher</t>
  </si>
  <si>
    <t>Composing teacher expenses</t>
  </si>
  <si>
    <t>Scholarship Expense</t>
  </si>
  <si>
    <t>ENDING: Cash and Investments</t>
  </si>
  <si>
    <t>TOTALS</t>
  </si>
  <si>
    <t>Programs (presenter fees, printing, misc)</t>
  </si>
  <si>
    <t>Operating-CD Interest</t>
  </si>
  <si>
    <t>Change in cash</t>
  </si>
  <si>
    <t>Social - Luncheon receipts</t>
  </si>
  <si>
    <t>Evaluations expenses</t>
  </si>
  <si>
    <t>checkbook should be this number</t>
  </si>
  <si>
    <t>PPTA Budget Year End 6.2016</t>
  </si>
  <si>
    <t>Operating account</t>
  </si>
  <si>
    <t>6/2011 Actual</t>
  </si>
  <si>
    <t>6/2012 Actual</t>
  </si>
  <si>
    <t>6/2013 Actual</t>
  </si>
  <si>
    <t>6/2014 Actual</t>
  </si>
  <si>
    <t>6/2015 Actual</t>
  </si>
  <si>
    <t>3 year average</t>
  </si>
  <si>
    <t>Adjustments (de)increase</t>
  </si>
  <si>
    <t>explanation</t>
  </si>
  <si>
    <t>YE 6/2016 Budget</t>
  </si>
  <si>
    <t>Ads</t>
  </si>
  <si>
    <t>Composing Contest - Student</t>
  </si>
  <si>
    <t>Perforance - Solo</t>
  </si>
  <si>
    <t>Performance - Duet</t>
  </si>
  <si>
    <t>Composing contest - Teacher</t>
  </si>
  <si>
    <t>Donataions/Awards</t>
  </si>
  <si>
    <t>Interest</t>
  </si>
  <si>
    <t>Membership/Mat. Pk</t>
  </si>
  <si>
    <t>Performance Competitions</t>
  </si>
  <si>
    <t>Social/Hosp.</t>
  </si>
  <si>
    <t>Totebags</t>
  </si>
  <si>
    <t>Mailings</t>
  </si>
  <si>
    <t>Piano Maintenance Fund</t>
  </si>
  <si>
    <t>make this $0 net</t>
  </si>
  <si>
    <t>Totals</t>
  </si>
  <si>
    <t>Auditor</t>
  </si>
  <si>
    <t>Composing Contest - Student-Awards</t>
  </si>
  <si>
    <t>Composing Contest - Student-Expenses</t>
  </si>
  <si>
    <t>Performance - Solo Awards</t>
  </si>
  <si>
    <t>Performance - Duet Awards</t>
  </si>
  <si>
    <t>Performance - Expenses</t>
  </si>
  <si>
    <t>Composing Contest - Teacher-Awards</t>
  </si>
  <si>
    <t>Composing Contest - Teacher-Expenses</t>
  </si>
  <si>
    <t>Donations</t>
  </si>
  <si>
    <t>250/Duq/50Artscncl/400CCGF</t>
  </si>
  <si>
    <t>Donations - Scholarship</t>
  </si>
  <si>
    <t>same as last year</t>
  </si>
  <si>
    <t>Historian</t>
  </si>
  <si>
    <t>Insurance</t>
  </si>
  <si>
    <t>Membership</t>
  </si>
  <si>
    <t>Outreach</t>
  </si>
  <si>
    <t>PFMC</t>
  </si>
  <si>
    <t>Programs</t>
  </si>
  <si>
    <t>Sunday Recitals</t>
  </si>
  <si>
    <t>Symphony Liaison</t>
  </si>
  <si>
    <t>Website</t>
  </si>
  <si>
    <t>Steinway Repairs</t>
  </si>
  <si>
    <t>Nei Income (loss)</t>
  </si>
  <si>
    <t xml:space="preserve">Income/(loss) on Scholarship fund </t>
  </si>
  <si>
    <t>Interest/Dividends/fees</t>
  </si>
  <si>
    <t>reinvestment in investment portfolio</t>
  </si>
  <si>
    <t>money market</t>
  </si>
  <si>
    <t>mutual funds</t>
  </si>
  <si>
    <t>Piano maintenanaceContributionss</t>
  </si>
  <si>
    <t>proof</t>
  </si>
  <si>
    <t>PFMC reimbursement</t>
  </si>
  <si>
    <t>PFMC Dues (District and State)</t>
  </si>
  <si>
    <t>PFMC Misc.</t>
  </si>
  <si>
    <t>VIP Recital (Heinz Hall);Special Recitals</t>
  </si>
  <si>
    <t>ANNUAL BUDGET 2017-2018</t>
  </si>
  <si>
    <t>YEAR TO DATE ACTUAL 2017-2018</t>
  </si>
  <si>
    <t>July, 2017</t>
  </si>
  <si>
    <t>August, 2017</t>
  </si>
  <si>
    <t>September, 2017</t>
  </si>
  <si>
    <t>OCTOBER, 2017</t>
  </si>
  <si>
    <t>November, 2017</t>
  </si>
  <si>
    <t>December, 2017</t>
  </si>
  <si>
    <t>December, 2017/January, 2018</t>
  </si>
  <si>
    <t>February, 2018</t>
  </si>
  <si>
    <t>March, 2018</t>
  </si>
  <si>
    <t>April, 2018</t>
  </si>
  <si>
    <t>MAY,2018</t>
  </si>
  <si>
    <t>June, 2018</t>
  </si>
  <si>
    <t>This was 2017 T-shirt bill</t>
  </si>
  <si>
    <t>$100 2nd recital/$150 Animal Friends reim.</t>
  </si>
  <si>
    <t>4.2018 1600. was for Yamaha piano deposit; 150. was for Paws To Listen t-shirts - to be reimbursed; Misc.25.00 materials refund; Misc. 150. gifts to CCGF staff; Yamaha C-5</t>
  </si>
  <si>
    <t>Notes and Explanation of change</t>
  </si>
  <si>
    <t>ANNUAL BUDGET 2018-2019 (based on 2017-2018 Budget)</t>
  </si>
  <si>
    <t>changes on OPERATIING from 2017-2018 to 2018 -2019 Budget</t>
  </si>
  <si>
    <t xml:space="preserve"> NOTES for YR End 6/30/18</t>
  </si>
  <si>
    <t>Will include program printing for May meeting</t>
  </si>
  <si>
    <t>140. of 5140. was Scholarship member donation in 2017</t>
  </si>
  <si>
    <t>PYCO hall rental</t>
  </si>
  <si>
    <t>Remember to show Scholarship money transfer from Operating acct</t>
  </si>
  <si>
    <t>Yamaha Maintenance &amp; Repairs</t>
  </si>
  <si>
    <t>Evaluations figures revised as shown from 10.31.2018</t>
  </si>
  <si>
    <t>Net income/(deficit)</t>
  </si>
  <si>
    <t>Competitions, Performance and Composition</t>
  </si>
  <si>
    <t>Recitals</t>
  </si>
  <si>
    <t>Dues (net of PFMC)</t>
  </si>
  <si>
    <t>Operations (Piano expenses, website, hall rental)</t>
  </si>
  <si>
    <t>Member contributions</t>
  </si>
  <si>
    <t xml:space="preserve"> "Spider tripod" INSTALLATION for Yamaha</t>
  </si>
  <si>
    <t>(out of balance)</t>
  </si>
  <si>
    <t>SOURCES AND USES</t>
  </si>
  <si>
    <t>Scholarship Awards Paid Out</t>
  </si>
  <si>
    <t>Reflects Scholarship account repayment to Operating</t>
  </si>
  <si>
    <t>includes downpayment on new Yamaha piano</t>
  </si>
  <si>
    <t>Piano (Yamaha)Insurance</t>
  </si>
  <si>
    <t>ANNUAL BUDGET DRAFT for 2019-2020)</t>
  </si>
  <si>
    <t>2019-2020 NOTES</t>
  </si>
  <si>
    <t>Offset by $100 donation from PMTNA?</t>
  </si>
  <si>
    <t>New membership brochures</t>
  </si>
  <si>
    <t>Additional expenses:Founder's Day, Convention rep.,Jr. Festival donation</t>
  </si>
  <si>
    <t>Yearly expense BUT need more for web design, etc.</t>
  </si>
  <si>
    <t>Added $100 for possible Board meetings?</t>
  </si>
  <si>
    <t>Reflects figures submitted by Marsha, 2.2019</t>
  </si>
  <si>
    <t>Reflects figures submitted by Arnel, 2.2019</t>
  </si>
  <si>
    <t>PPTA BUDGET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</si>
</sst>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39" fontId="0" fillId="0" borderId="0" xfId="0" applyNumberFormat="1"/>
    <xf numFmtId="39" fontId="0" fillId="0" borderId="0" xfId="0" applyNumberFormat="1" applyFill="1"/>
    <xf numFmtId="39" fontId="0" fillId="0" borderId="0" xfId="0" applyNumberFormat="1" applyFill="1" applyAlignment="1">
      <alignment horizontal="left"/>
    </xf>
    <xf numFmtId="39" fontId="0" fillId="0" borderId="0" xfId="0" applyNumberFormat="1" applyFill="1" applyBorder="1"/>
    <xf numFmtId="39" fontId="0" fillId="4" borderId="0" xfId="0" applyNumberFormat="1" applyFill="1"/>
    <xf numFmtId="39" fontId="0" fillId="4" borderId="0" xfId="0" applyNumberFormat="1" applyFill="1" applyBorder="1"/>
    <xf numFmtId="39" fontId="1" fillId="4" borderId="0" xfId="0" applyNumberFormat="1" applyFont="1" applyFill="1" applyBorder="1"/>
    <xf numFmtId="39" fontId="0" fillId="0" borderId="0" xfId="0" applyNumberFormat="1" applyBorder="1"/>
    <xf numFmtId="39" fontId="0" fillId="0" borderId="2" xfId="0" applyNumberFormat="1" applyBorder="1"/>
    <xf numFmtId="39" fontId="0" fillId="0" borderId="3" xfId="0" applyNumberFormat="1" applyBorder="1"/>
    <xf numFmtId="39" fontId="1" fillId="0" borderId="0" xfId="0" applyNumberFormat="1" applyFont="1" applyBorder="1"/>
    <xf numFmtId="39" fontId="1" fillId="0" borderId="0" xfId="0" applyNumberFormat="1" applyFont="1" applyFill="1" applyBorder="1"/>
    <xf numFmtId="39" fontId="1" fillId="4" borderId="0" xfId="0" applyNumberFormat="1" applyFont="1" applyFill="1"/>
    <xf numFmtId="39" fontId="1" fillId="4" borderId="0" xfId="0" applyNumberFormat="1" applyFont="1" applyFill="1" applyAlignment="1">
      <alignment horizontal="right"/>
    </xf>
    <xf numFmtId="39" fontId="0" fillId="0" borderId="2" xfId="0" applyNumberFormat="1" applyFill="1" applyBorder="1"/>
    <xf numFmtId="39" fontId="0" fillId="0" borderId="3" xfId="0" applyNumberFormat="1" applyFill="1" applyBorder="1"/>
    <xf numFmtId="39" fontId="0" fillId="0" borderId="1" xfId="0" applyNumberFormat="1" applyFill="1" applyBorder="1"/>
    <xf numFmtId="39" fontId="0" fillId="0" borderId="1" xfId="0" applyNumberFormat="1" applyBorder="1"/>
    <xf numFmtId="44" fontId="6" fillId="0" borderId="0" xfId="7" applyFont="1"/>
    <xf numFmtId="0" fontId="0" fillId="0" borderId="0" xfId="0" applyAlignment="1">
      <alignment horizontal="center" wrapText="1"/>
    </xf>
    <xf numFmtId="44" fontId="0" fillId="0" borderId="0" xfId="7" applyFont="1" applyAlignment="1">
      <alignment horizontal="center" wrapText="1"/>
    </xf>
    <xf numFmtId="44" fontId="4" fillId="0" borderId="0" xfId="7" applyFont="1" applyAlignment="1">
      <alignment horizontal="center" wrapText="1"/>
    </xf>
    <xf numFmtId="17" fontId="0" fillId="0" borderId="0" xfId="0" applyNumberFormat="1" applyAlignment="1">
      <alignment horizontal="center" wrapText="1"/>
    </xf>
    <xf numFmtId="44" fontId="0" fillId="0" borderId="0" xfId="0" applyNumberFormat="1"/>
    <xf numFmtId="0" fontId="0" fillId="6" borderId="0" xfId="0" applyFill="1"/>
    <xf numFmtId="44" fontId="6" fillId="6" borderId="0" xfId="7" applyFont="1" applyFill="1"/>
    <xf numFmtId="0" fontId="1" fillId="0" borderId="0" xfId="0" applyFont="1"/>
    <xf numFmtId="44" fontId="1" fillId="0" borderId="0" xfId="0" applyNumberFormat="1" applyFont="1"/>
    <xf numFmtId="39" fontId="0" fillId="0" borderId="0" xfId="0" applyNumberFormat="1" applyFill="1" applyBorder="1" applyAlignment="1">
      <alignment vertical="center" wrapText="1"/>
    </xf>
    <xf numFmtId="39" fontId="1" fillId="0" borderId="0" xfId="0" applyNumberFormat="1" applyFont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39" fontId="1" fillId="0" borderId="0" xfId="0" applyNumberFormat="1" applyFont="1" applyFill="1"/>
    <xf numFmtId="39" fontId="1" fillId="0" borderId="0" xfId="0" applyNumberFormat="1" applyFont="1" applyBorder="1" applyAlignment="1">
      <alignment vertical="center" wrapText="1"/>
    </xf>
    <xf numFmtId="39" fontId="1" fillId="0" borderId="0" xfId="0" applyNumberFormat="1" applyFont="1" applyFill="1" applyBorder="1" applyAlignment="1">
      <alignment horizontal="center" vertical="center" wrapText="1"/>
    </xf>
    <xf numFmtId="39" fontId="7" fillId="0" borderId="0" xfId="0" applyNumberFormat="1" applyFont="1" applyFill="1" applyBorder="1" applyAlignment="1">
      <alignment horizontal="center" vertical="center" wrapText="1"/>
    </xf>
    <xf numFmtId="39" fontId="1" fillId="0" borderId="0" xfId="0" applyNumberFormat="1" applyFont="1"/>
    <xf numFmtId="39" fontId="7" fillId="0" borderId="0" xfId="0" applyNumberFormat="1" applyFont="1" applyFill="1" applyBorder="1" applyAlignment="1">
      <alignment horizontal="center" vertical="center" wrapText="1"/>
    </xf>
    <xf numFmtId="39" fontId="0" fillId="0" borderId="0" xfId="0" applyNumberFormat="1" applyFont="1"/>
    <xf numFmtId="39" fontId="1" fillId="0" borderId="0" xfId="0" applyNumberFormat="1" applyFont="1" applyFill="1" applyAlignment="1">
      <alignment horizontal="center" vertical="center"/>
    </xf>
    <xf numFmtId="39" fontId="1" fillId="7" borderId="0" xfId="0" applyNumberFormat="1" applyFont="1" applyFill="1" applyAlignment="1">
      <alignment horizontal="center" vertical="center" wrapText="1"/>
    </xf>
    <xf numFmtId="39" fontId="0" fillId="0" borderId="0" xfId="0" applyNumberFormat="1" applyFill="1" applyBorder="1" applyAlignment="1">
      <alignment wrapText="1"/>
    </xf>
    <xf numFmtId="39" fontId="0" fillId="0" borderId="0" xfId="0" applyNumberFormat="1" applyBorder="1" applyAlignment="1">
      <alignment wrapText="1"/>
    </xf>
    <xf numFmtId="39" fontId="1" fillId="0" borderId="0" xfId="0" applyNumberFormat="1" applyFont="1" applyBorder="1" applyAlignment="1">
      <alignment wrapText="1"/>
    </xf>
    <xf numFmtId="39" fontId="0" fillId="8" borderId="0" xfId="0" applyNumberFormat="1" applyFill="1" applyBorder="1" applyAlignment="1">
      <alignment wrapText="1"/>
    </xf>
    <xf numFmtId="39" fontId="0" fillId="9" borderId="2" xfId="0" applyNumberFormat="1" applyFill="1" applyBorder="1"/>
    <xf numFmtId="39" fontId="0" fillId="10" borderId="2" xfId="0" applyNumberFormat="1" applyFill="1" applyBorder="1"/>
    <xf numFmtId="39" fontId="0" fillId="11" borderId="2" xfId="0" applyNumberFormat="1" applyFill="1" applyBorder="1"/>
    <xf numFmtId="39" fontId="0" fillId="12" borderId="2" xfId="0" applyNumberFormat="1" applyFill="1" applyBorder="1"/>
    <xf numFmtId="39" fontId="0" fillId="13" borderId="2" xfId="0" applyNumberFormat="1" applyFill="1" applyBorder="1"/>
    <xf numFmtId="39" fontId="0" fillId="14" borderId="2" xfId="0" applyNumberFormat="1" applyFill="1" applyBorder="1"/>
    <xf numFmtId="39" fontId="0" fillId="2" borderId="2" xfId="0" applyNumberFormat="1" applyFill="1" applyBorder="1"/>
    <xf numFmtId="39" fontId="0" fillId="0" borderId="7" xfId="0" applyNumberFormat="1" applyBorder="1"/>
    <xf numFmtId="39" fontId="0" fillId="10" borderId="0" xfId="0" applyNumberFormat="1" applyFill="1" applyBorder="1"/>
    <xf numFmtId="39" fontId="0" fillId="0" borderId="8" xfId="0" applyNumberFormat="1" applyBorder="1"/>
    <xf numFmtId="39" fontId="0" fillId="11" borderId="0" xfId="0" applyNumberFormat="1" applyFill="1" applyBorder="1"/>
    <xf numFmtId="39" fontId="0" fillId="9" borderId="0" xfId="0" applyNumberFormat="1" applyFill="1" applyBorder="1"/>
    <xf numFmtId="39" fontId="0" fillId="12" borderId="0" xfId="0" applyNumberFormat="1" applyFill="1" applyBorder="1"/>
    <xf numFmtId="39" fontId="0" fillId="0" borderId="7" xfId="0" applyNumberFormat="1" applyFont="1" applyBorder="1"/>
    <xf numFmtId="39" fontId="0" fillId="14" borderId="0" xfId="0" applyNumberFormat="1" applyFont="1" applyFill="1" applyBorder="1"/>
    <xf numFmtId="39" fontId="0" fillId="13" borderId="0" xfId="0" applyNumberFormat="1" applyFont="1" applyFill="1" applyBorder="1"/>
    <xf numFmtId="39" fontId="0" fillId="2" borderId="0" xfId="0" applyNumberFormat="1" applyFont="1" applyFill="1" applyBorder="1"/>
    <xf numFmtId="39" fontId="1" fillId="0" borderId="7" xfId="0" applyNumberFormat="1" applyFont="1" applyBorder="1"/>
    <xf numFmtId="39" fontId="0" fillId="0" borderId="9" xfId="0" applyNumberFormat="1" applyBorder="1"/>
    <xf numFmtId="39" fontId="1" fillId="0" borderId="10" xfId="0" applyNumberFormat="1" applyFont="1" applyBorder="1" applyAlignment="1">
      <alignment horizontal="center" vertical="center"/>
    </xf>
    <xf numFmtId="39" fontId="0" fillId="0" borderId="11" xfId="0" applyNumberFormat="1" applyBorder="1"/>
    <xf numFmtId="39" fontId="7" fillId="15" borderId="0" xfId="0" applyNumberFormat="1" applyFont="1" applyFill="1" applyAlignment="1">
      <alignment horizontal="center" vertical="center" wrapText="1"/>
    </xf>
    <xf numFmtId="39" fontId="7" fillId="15" borderId="0" xfId="0" applyNumberFormat="1" applyFont="1" applyFill="1" applyBorder="1" applyAlignment="1">
      <alignment horizontal="center" vertical="center" wrapText="1"/>
    </xf>
    <xf numFmtId="39" fontId="11" fillId="3" borderId="4" xfId="0" applyNumberFormat="1" applyFont="1" applyFill="1" applyBorder="1" applyAlignment="1">
      <alignment horizontal="center"/>
    </xf>
    <xf numFmtId="39" fontId="11" fillId="3" borderId="5" xfId="0" applyNumberFormat="1" applyFont="1" applyFill="1" applyBorder="1" applyAlignment="1">
      <alignment horizontal="center"/>
    </xf>
    <xf numFmtId="39" fontId="11" fillId="3" borderId="6" xfId="0" applyNumberFormat="1" applyFont="1" applyFill="1" applyBorder="1" applyAlignment="1">
      <alignment horizontal="center"/>
    </xf>
    <xf numFmtId="39" fontId="7" fillId="2" borderId="0" xfId="0" applyNumberFormat="1" applyFont="1" applyFill="1" applyBorder="1" applyAlignment="1">
      <alignment horizontal="center" vertical="center" wrapText="1"/>
    </xf>
    <xf numFmtId="39" fontId="7" fillId="7" borderId="0" xfId="0" applyNumberFormat="1" applyFont="1" applyFill="1" applyBorder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49" fontId="7" fillId="5" borderId="0" xfId="0" applyNumberFormat="1" applyFont="1" applyFill="1" applyAlignment="1">
      <alignment horizontal="center"/>
    </xf>
    <xf numFmtId="39" fontId="7" fillId="0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</cellXfs>
  <cellStyles count="16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85"/>
  <sheetViews>
    <sheetView tabSelected="1" workbookViewId="0">
      <pane xSplit="3" ySplit="5" topLeftCell="AN6" activePane="bottomRight" state="frozen"/>
      <selection pane="topRight" activeCell="D1" sqref="D1"/>
      <selection pane="bottomLeft" activeCell="A5" sqref="A5"/>
      <selection pane="bottomRight" activeCell="A2" sqref="A2:AV2"/>
    </sheetView>
  </sheetViews>
  <sheetFormatPr baseColWidth="10" defaultColWidth="8.83203125" defaultRowHeight="14" x14ac:dyDescent="0"/>
  <cols>
    <col min="1" max="1" width="3.33203125" style="1" customWidth="1"/>
    <col min="2" max="2" width="7.6640625" style="1" customWidth="1"/>
    <col min="3" max="3" width="32.1640625" style="1" customWidth="1"/>
    <col min="4" max="4" width="3.1640625" style="4" hidden="1" customWidth="1"/>
    <col min="5" max="6" width="11.6640625" style="4" hidden="1" customWidth="1"/>
    <col min="7" max="7" width="3" style="4" hidden="1" customWidth="1"/>
    <col min="8" max="9" width="11.6640625" style="4" hidden="1" customWidth="1"/>
    <col min="10" max="10" width="2.5" style="4" hidden="1" customWidth="1"/>
    <col min="11" max="12" width="11.6640625" style="4" hidden="1" customWidth="1"/>
    <col min="13" max="13" width="1.83203125" style="4" hidden="1" customWidth="1"/>
    <col min="14" max="15" width="11.6640625" style="4" hidden="1" customWidth="1"/>
    <col min="16" max="16" width="2.5" style="4" hidden="1" customWidth="1"/>
    <col min="17" max="17" width="11.83203125" style="4" hidden="1" customWidth="1"/>
    <col min="18" max="18" width="11.6640625" style="4" hidden="1" customWidth="1"/>
    <col min="19" max="19" width="2.5" style="4" hidden="1" customWidth="1"/>
    <col min="20" max="21" width="11.6640625" style="4" hidden="1" customWidth="1"/>
    <col min="22" max="22" width="2.5" style="4" hidden="1" customWidth="1"/>
    <col min="23" max="24" width="12.33203125" style="4" hidden="1" customWidth="1"/>
    <col min="25" max="25" width="2" style="4" hidden="1" customWidth="1"/>
    <col min="26" max="26" width="11.6640625" style="4" hidden="1" customWidth="1"/>
    <col min="27" max="27" width="15.5" style="4" hidden="1" customWidth="1"/>
    <col min="28" max="28" width="2.5" style="4" hidden="1" customWidth="1"/>
    <col min="29" max="30" width="15.6640625" style="4" hidden="1" customWidth="1"/>
    <col min="31" max="31" width="2.33203125" style="4" hidden="1" customWidth="1"/>
    <col min="32" max="32" width="11.6640625" style="4" hidden="1" customWidth="1"/>
    <col min="33" max="33" width="0.33203125" style="4" hidden="1" customWidth="1"/>
    <col min="34" max="34" width="1.83203125" style="4" hidden="1" customWidth="1"/>
    <col min="35" max="36" width="11.6640625" style="4" hidden="1" customWidth="1"/>
    <col min="37" max="37" width="1.83203125" style="4" hidden="1" customWidth="1"/>
    <col min="38" max="38" width="11.6640625" style="4" hidden="1" customWidth="1"/>
    <col min="39" max="39" width="12.1640625" style="4" hidden="1" customWidth="1"/>
    <col min="40" max="41" width="0.33203125" style="4" hidden="1" customWidth="1"/>
    <col min="42" max="42" width="13.1640625" style="1" hidden="1" customWidth="1"/>
    <col min="43" max="43" width="13" style="1" hidden="1" customWidth="1"/>
    <col min="44" max="44" width="3.33203125" style="4" hidden="1" customWidth="1"/>
    <col min="45" max="45" width="12" style="1" hidden="1" customWidth="1"/>
    <col min="46" max="46" width="12.1640625" style="1" hidden="1" customWidth="1"/>
    <col min="47" max="47" width="11.6640625" style="1" hidden="1" customWidth="1"/>
    <col min="48" max="48" width="45.33203125" style="1" hidden="1" customWidth="1"/>
    <col min="49" max="49" width="2.33203125" style="1" hidden="1" customWidth="1"/>
    <col min="50" max="50" width="36.83203125" style="1" hidden="1" customWidth="1"/>
    <col min="51" max="53" width="13.83203125" style="1" hidden="1" customWidth="1"/>
    <col min="54" max="54" width="36.83203125" style="1" customWidth="1"/>
    <col min="55" max="57" width="13.83203125" style="1" customWidth="1"/>
    <col min="58" max="59" width="8.5" style="1" customWidth="1"/>
    <col min="60" max="16384" width="8.83203125" style="1"/>
  </cols>
  <sheetData>
    <row r="1" spans="1:67" s="37" customFormat="1" ht="23">
      <c r="A1" s="74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</row>
    <row r="2" spans="1:67" s="37" customFormat="1" ht="18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s="2" customFormat="1" ht="10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R3" s="4"/>
    </row>
    <row r="4" spans="1:67" s="34" customFormat="1" ht="47" customHeight="1">
      <c r="D4" s="35"/>
      <c r="E4" s="72" t="s">
        <v>109</v>
      </c>
      <c r="F4" s="72"/>
      <c r="G4" s="36"/>
      <c r="H4" s="72" t="s">
        <v>110</v>
      </c>
      <c r="I4" s="72"/>
      <c r="J4" s="36"/>
      <c r="K4" s="72" t="s">
        <v>111</v>
      </c>
      <c r="L4" s="72"/>
      <c r="M4" s="36"/>
      <c r="N4" s="72" t="s">
        <v>112</v>
      </c>
      <c r="O4" s="72"/>
      <c r="P4" s="36"/>
      <c r="Q4" s="72" t="s">
        <v>113</v>
      </c>
      <c r="R4" s="72"/>
      <c r="S4" s="36"/>
      <c r="T4" s="72" t="s">
        <v>114</v>
      </c>
      <c r="U4" s="72"/>
      <c r="V4" s="36"/>
      <c r="W4" s="72" t="s">
        <v>115</v>
      </c>
      <c r="X4" s="72"/>
      <c r="Y4" s="36"/>
      <c r="Z4" s="72" t="s">
        <v>116</v>
      </c>
      <c r="AA4" s="72"/>
      <c r="AB4" s="36"/>
      <c r="AC4" s="72" t="s">
        <v>117</v>
      </c>
      <c r="AD4" s="72"/>
      <c r="AE4" s="36"/>
      <c r="AF4" s="72" t="s">
        <v>118</v>
      </c>
      <c r="AG4" s="72"/>
      <c r="AH4" s="36"/>
      <c r="AI4" s="77" t="s">
        <v>119</v>
      </c>
      <c r="AJ4" s="77"/>
      <c r="AK4" s="36"/>
      <c r="AL4" s="77" t="s">
        <v>120</v>
      </c>
      <c r="AM4" s="77"/>
      <c r="AN4" s="36"/>
      <c r="AO4" s="38"/>
      <c r="AP4" s="72" t="s">
        <v>108</v>
      </c>
      <c r="AQ4" s="72"/>
      <c r="AR4" s="35"/>
      <c r="AS4" s="76" t="s">
        <v>107</v>
      </c>
      <c r="AT4" s="76"/>
      <c r="AU4" s="76"/>
      <c r="AW4" s="33"/>
      <c r="AX4" s="41" t="s">
        <v>126</v>
      </c>
      <c r="AY4" s="73" t="s">
        <v>125</v>
      </c>
      <c r="AZ4" s="73"/>
      <c r="BA4" s="73"/>
      <c r="BB4" s="67" t="s">
        <v>148</v>
      </c>
      <c r="BC4" s="68" t="s">
        <v>147</v>
      </c>
      <c r="BD4" s="68"/>
      <c r="BE4" s="68"/>
      <c r="BF4" s="33"/>
      <c r="BG4" s="33"/>
      <c r="BH4" s="33"/>
      <c r="BI4" s="33"/>
      <c r="BJ4" s="33"/>
      <c r="BK4" s="33"/>
      <c r="BL4" s="33"/>
      <c r="BM4" s="33"/>
      <c r="BN4" s="33"/>
      <c r="BO4" s="33"/>
    </row>
    <row r="5" spans="1:67" s="30" customFormat="1">
      <c r="D5" s="31"/>
      <c r="E5" s="30" t="s">
        <v>6</v>
      </c>
      <c r="F5" s="30" t="s">
        <v>7</v>
      </c>
      <c r="G5" s="31"/>
      <c r="H5" s="30" t="s">
        <v>6</v>
      </c>
      <c r="I5" s="30" t="s">
        <v>7</v>
      </c>
      <c r="J5" s="31"/>
      <c r="K5" s="30" t="s">
        <v>6</v>
      </c>
      <c r="L5" s="30" t="s">
        <v>7</v>
      </c>
      <c r="M5" s="31"/>
      <c r="N5" s="30" t="s">
        <v>6</v>
      </c>
      <c r="O5" s="30" t="s">
        <v>7</v>
      </c>
      <c r="P5" s="31"/>
      <c r="Q5" s="30" t="s">
        <v>6</v>
      </c>
      <c r="R5" s="30" t="s">
        <v>7</v>
      </c>
      <c r="S5" s="31"/>
      <c r="T5" s="30" t="s">
        <v>6</v>
      </c>
      <c r="U5" s="30" t="s">
        <v>7</v>
      </c>
      <c r="V5" s="31"/>
      <c r="W5" s="30" t="s">
        <v>6</v>
      </c>
      <c r="X5" s="30" t="s">
        <v>7</v>
      </c>
      <c r="Y5" s="31"/>
      <c r="Z5" s="30" t="s">
        <v>6</v>
      </c>
      <c r="AA5" s="30" t="s">
        <v>7</v>
      </c>
      <c r="AB5" s="31"/>
      <c r="AC5" s="30" t="s">
        <v>6</v>
      </c>
      <c r="AD5" s="30" t="s">
        <v>7</v>
      </c>
      <c r="AE5" s="31"/>
      <c r="AF5" s="30" t="s">
        <v>6</v>
      </c>
      <c r="AG5" s="30" t="s">
        <v>7</v>
      </c>
      <c r="AH5" s="31"/>
      <c r="AI5" s="32" t="s">
        <v>6</v>
      </c>
      <c r="AJ5" s="30" t="s">
        <v>7</v>
      </c>
      <c r="AK5" s="31"/>
      <c r="AL5" s="30" t="s">
        <v>6</v>
      </c>
      <c r="AM5" s="30" t="s">
        <v>7</v>
      </c>
      <c r="AN5" s="31"/>
      <c r="AO5" s="31"/>
      <c r="AP5" s="30" t="s">
        <v>6</v>
      </c>
      <c r="AQ5" s="30" t="s">
        <v>7</v>
      </c>
      <c r="AR5" s="31"/>
      <c r="AS5" s="30" t="s">
        <v>6</v>
      </c>
      <c r="AT5" s="30" t="s">
        <v>7</v>
      </c>
      <c r="AU5" s="30" t="s">
        <v>10</v>
      </c>
      <c r="AV5" s="30" t="s">
        <v>127</v>
      </c>
      <c r="AW5" s="33"/>
      <c r="AX5" s="40" t="s">
        <v>124</v>
      </c>
      <c r="AY5" s="30" t="s">
        <v>6</v>
      </c>
      <c r="AZ5" s="30" t="s">
        <v>7</v>
      </c>
      <c r="BA5" s="30" t="s">
        <v>10</v>
      </c>
      <c r="BB5" s="40" t="s">
        <v>124</v>
      </c>
      <c r="BC5" s="30" t="s">
        <v>6</v>
      </c>
      <c r="BD5" s="30" t="s">
        <v>7</v>
      </c>
      <c r="BE5" s="30" t="s">
        <v>10</v>
      </c>
      <c r="BF5" s="33"/>
      <c r="BG5" s="33"/>
      <c r="BH5" s="33"/>
      <c r="BI5" s="33"/>
      <c r="BJ5" s="33"/>
      <c r="BK5" s="33"/>
      <c r="BL5" s="33"/>
      <c r="BM5" s="33"/>
      <c r="BN5" s="33"/>
      <c r="BO5" s="33"/>
    </row>
    <row r="6" spans="1:67" s="8" customFormat="1" ht="9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R6" s="4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8" customFormat="1">
      <c r="B7" s="11" t="s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R7" s="4"/>
    </row>
    <row r="8" spans="1:67" s="8" customFormat="1">
      <c r="C8" s="4" t="s">
        <v>34</v>
      </c>
      <c r="D8" s="4"/>
      <c r="E8" s="15"/>
      <c r="F8" s="15"/>
      <c r="G8" s="4"/>
      <c r="H8" s="15"/>
      <c r="I8" s="15"/>
      <c r="J8" s="4"/>
      <c r="K8" s="15"/>
      <c r="L8" s="15"/>
      <c r="M8" s="4"/>
      <c r="N8" s="15"/>
      <c r="O8" s="15"/>
      <c r="P8" s="4"/>
      <c r="Q8" s="15"/>
      <c r="R8" s="15"/>
      <c r="S8" s="4"/>
      <c r="T8" s="15"/>
      <c r="U8" s="15"/>
      <c r="V8" s="4"/>
      <c r="W8" s="15"/>
      <c r="X8" s="15"/>
      <c r="Y8" s="4"/>
      <c r="Z8" s="9"/>
      <c r="AA8" s="9"/>
      <c r="AB8" s="4"/>
      <c r="AC8" s="15"/>
      <c r="AD8" s="15"/>
      <c r="AE8" s="4"/>
      <c r="AF8" s="15"/>
      <c r="AG8" s="15"/>
      <c r="AH8" s="4"/>
      <c r="AI8" s="15"/>
      <c r="AJ8" s="15"/>
      <c r="AK8" s="4"/>
      <c r="AL8" s="15"/>
      <c r="AM8" s="15"/>
      <c r="AN8" s="4"/>
      <c r="AO8" s="4"/>
      <c r="AP8" s="9">
        <f>+E8+H8+K8+N8+Q8+T8+W8+Z8+AC8+AF8+AI8+AL8</f>
        <v>0</v>
      </c>
      <c r="AQ8" s="9">
        <f>+F8+I8+L8+O8+R8+U8+X8+AA8+AD8+AG8+AJ8+AM8</f>
        <v>0</v>
      </c>
      <c r="AR8" s="4"/>
      <c r="AS8" s="9">
        <v>0</v>
      </c>
      <c r="AT8" s="9">
        <v>0</v>
      </c>
      <c r="AU8" s="9">
        <f>SUM(AS8:AT8)</f>
        <v>0</v>
      </c>
      <c r="AV8" s="43"/>
      <c r="AY8" s="9">
        <v>0</v>
      </c>
      <c r="AZ8" s="9">
        <v>0</v>
      </c>
      <c r="BA8" s="9">
        <f>SUM(AY8:AZ8)</f>
        <v>0</v>
      </c>
      <c r="BC8" s="9">
        <v>0</v>
      </c>
      <c r="BD8" s="9">
        <v>0</v>
      </c>
      <c r="BE8" s="9">
        <f>SUM(BC8:BD8)</f>
        <v>0</v>
      </c>
    </row>
    <row r="9" spans="1:67" s="8" customFormat="1">
      <c r="C9" s="8" t="s">
        <v>27</v>
      </c>
      <c r="D9" s="4"/>
      <c r="E9" s="15"/>
      <c r="F9" s="15"/>
      <c r="G9" s="4"/>
      <c r="H9" s="15"/>
      <c r="I9" s="15"/>
      <c r="J9" s="4"/>
      <c r="K9" s="15"/>
      <c r="L9" s="15"/>
      <c r="M9" s="4"/>
      <c r="N9" s="15"/>
      <c r="O9" s="15"/>
      <c r="P9" s="4"/>
      <c r="Q9" s="15"/>
      <c r="R9" s="15"/>
      <c r="S9" s="4"/>
      <c r="T9" s="15"/>
      <c r="U9" s="15"/>
      <c r="V9" s="4"/>
      <c r="W9" s="15"/>
      <c r="X9" s="15"/>
      <c r="Y9" s="4"/>
      <c r="Z9" s="9"/>
      <c r="AA9" s="9"/>
      <c r="AB9" s="4"/>
      <c r="AC9" s="15"/>
      <c r="AD9" s="15"/>
      <c r="AE9" s="4"/>
      <c r="AF9" s="15">
        <v>35</v>
      </c>
      <c r="AG9" s="15"/>
      <c r="AH9" s="4"/>
      <c r="AI9" s="15"/>
      <c r="AJ9" s="15"/>
      <c r="AK9" s="4"/>
      <c r="AL9" s="15"/>
      <c r="AM9" s="15"/>
      <c r="AN9" s="4"/>
      <c r="AO9" s="4"/>
      <c r="AP9" s="9">
        <f t="shared" ref="AP9:AP27" si="0">+E9+H9+K9+N9+Q9+T9+W9+Z9+AC9+AF9+AI9+AL9</f>
        <v>35</v>
      </c>
      <c r="AQ9" s="9">
        <f t="shared" ref="AQ9:AQ27" si="1">+F9+I9+L9+O9+R9+U9+X9+AA9+AD9+AG9+AJ9+AM9</f>
        <v>0</v>
      </c>
      <c r="AR9" s="4"/>
      <c r="AS9" s="9">
        <v>70</v>
      </c>
      <c r="AT9" s="9">
        <v>0</v>
      </c>
      <c r="AU9" s="9">
        <f>SUM(AS9:AT9)</f>
        <v>70</v>
      </c>
      <c r="AV9" s="43"/>
      <c r="AY9" s="46">
        <v>50</v>
      </c>
      <c r="AZ9" s="9">
        <v>0</v>
      </c>
      <c r="BA9" s="9">
        <f>SUM(AY9:AZ9)</f>
        <v>50</v>
      </c>
      <c r="BB9" s="8" t="s">
        <v>155</v>
      </c>
      <c r="BC9" s="46">
        <v>50</v>
      </c>
      <c r="BD9" s="9">
        <v>0</v>
      </c>
      <c r="BE9" s="9">
        <f>SUM(BC9:BD9)</f>
        <v>50</v>
      </c>
    </row>
    <row r="10" spans="1:67" s="8" customFormat="1">
      <c r="C10" s="8" t="s">
        <v>31</v>
      </c>
      <c r="D10" s="4"/>
      <c r="E10" s="15"/>
      <c r="F10" s="15"/>
      <c r="G10" s="4"/>
      <c r="H10" s="15"/>
      <c r="I10" s="15"/>
      <c r="J10" s="4"/>
      <c r="K10" s="15"/>
      <c r="L10" s="15"/>
      <c r="M10" s="4"/>
      <c r="N10" s="15"/>
      <c r="O10" s="15"/>
      <c r="P10" s="4"/>
      <c r="Q10" s="15"/>
      <c r="R10" s="15"/>
      <c r="S10" s="4"/>
      <c r="T10" s="15"/>
      <c r="U10" s="15"/>
      <c r="V10" s="4"/>
      <c r="W10" s="15"/>
      <c r="X10" s="15"/>
      <c r="Y10" s="4"/>
      <c r="Z10" s="9">
        <v>465</v>
      </c>
      <c r="AA10" s="9"/>
      <c r="AB10" s="4"/>
      <c r="AC10" s="15">
        <v>180</v>
      </c>
      <c r="AD10" s="15"/>
      <c r="AE10" s="4"/>
      <c r="AF10" s="15"/>
      <c r="AG10" s="15"/>
      <c r="AH10" s="4"/>
      <c r="AI10" s="15"/>
      <c r="AJ10" s="15"/>
      <c r="AK10" s="4"/>
      <c r="AL10" s="15"/>
      <c r="AM10" s="15"/>
      <c r="AN10" s="4"/>
      <c r="AO10" s="4"/>
      <c r="AP10" s="9">
        <f t="shared" si="0"/>
        <v>645</v>
      </c>
      <c r="AQ10" s="9">
        <f t="shared" si="1"/>
        <v>0</v>
      </c>
      <c r="AR10" s="4"/>
      <c r="AS10" s="9">
        <v>600</v>
      </c>
      <c r="AT10" s="9">
        <v>0</v>
      </c>
      <c r="AU10" s="9">
        <f t="shared" ref="AU10:AU57" si="2">SUM(AS10:AT10)</f>
        <v>600</v>
      </c>
      <c r="AV10" s="43"/>
      <c r="AY10" s="46">
        <v>600</v>
      </c>
      <c r="AZ10" s="9">
        <v>0</v>
      </c>
      <c r="BA10" s="9">
        <f t="shared" ref="BA10:BA13" si="3">SUM(AY10:AZ10)</f>
        <v>600</v>
      </c>
      <c r="BC10" s="46">
        <v>600</v>
      </c>
      <c r="BD10" s="9">
        <v>0</v>
      </c>
      <c r="BE10" s="9">
        <f t="shared" ref="BE10:BE13" si="4">SUM(BC10:BD10)</f>
        <v>600</v>
      </c>
    </row>
    <row r="11" spans="1:67" s="8" customFormat="1">
      <c r="C11" s="8" t="s">
        <v>30</v>
      </c>
      <c r="D11" s="4"/>
      <c r="E11" s="15"/>
      <c r="F11" s="15"/>
      <c r="G11" s="4"/>
      <c r="H11" s="15"/>
      <c r="I11" s="15"/>
      <c r="J11" s="4"/>
      <c r="K11" s="15"/>
      <c r="L11" s="15"/>
      <c r="M11" s="4"/>
      <c r="N11" s="15"/>
      <c r="O11" s="15"/>
      <c r="P11" s="4"/>
      <c r="Q11" s="15"/>
      <c r="R11" s="15"/>
      <c r="S11" s="4"/>
      <c r="T11" s="15"/>
      <c r="U11" s="15"/>
      <c r="V11" s="4"/>
      <c r="W11" s="15"/>
      <c r="X11" s="15"/>
      <c r="Y11" s="4"/>
      <c r="Z11" s="9">
        <v>300</v>
      </c>
      <c r="AA11" s="9"/>
      <c r="AB11" s="4"/>
      <c r="AC11" s="15">
        <v>40</v>
      </c>
      <c r="AD11" s="15"/>
      <c r="AE11" s="4"/>
      <c r="AF11" s="15"/>
      <c r="AG11" s="15"/>
      <c r="AH11" s="4"/>
      <c r="AI11" s="15"/>
      <c r="AJ11" s="15"/>
      <c r="AK11" s="4"/>
      <c r="AL11" s="15"/>
      <c r="AM11" s="15"/>
      <c r="AN11" s="4"/>
      <c r="AO11" s="4"/>
      <c r="AP11" s="9">
        <f t="shared" si="0"/>
        <v>340</v>
      </c>
      <c r="AQ11" s="9">
        <f t="shared" si="1"/>
        <v>0</v>
      </c>
      <c r="AR11" s="4"/>
      <c r="AS11" s="9">
        <v>400</v>
      </c>
      <c r="AT11" s="9">
        <v>0</v>
      </c>
      <c r="AU11" s="9">
        <f t="shared" si="2"/>
        <v>400</v>
      </c>
      <c r="AV11" s="43"/>
      <c r="AY11" s="46">
        <v>350</v>
      </c>
      <c r="AZ11" s="9">
        <v>0</v>
      </c>
      <c r="BA11" s="9">
        <f t="shared" si="3"/>
        <v>350</v>
      </c>
      <c r="BC11" s="46">
        <v>400</v>
      </c>
      <c r="BD11" s="9">
        <v>0</v>
      </c>
      <c r="BE11" s="9">
        <f t="shared" si="4"/>
        <v>400</v>
      </c>
    </row>
    <row r="12" spans="1:67" s="8" customFormat="1">
      <c r="C12" s="8" t="s">
        <v>36</v>
      </c>
      <c r="D12" s="4"/>
      <c r="E12" s="15"/>
      <c r="F12" s="15"/>
      <c r="G12" s="4"/>
      <c r="H12" s="15"/>
      <c r="I12" s="15"/>
      <c r="J12" s="4"/>
      <c r="K12" s="15"/>
      <c r="L12" s="15"/>
      <c r="M12" s="4"/>
      <c r="N12" s="15"/>
      <c r="O12" s="15"/>
      <c r="P12" s="4"/>
      <c r="Q12" s="15"/>
      <c r="R12" s="15"/>
      <c r="S12" s="4"/>
      <c r="T12" s="15"/>
      <c r="U12" s="15"/>
      <c r="V12" s="4"/>
      <c r="W12" s="15"/>
      <c r="X12" s="15"/>
      <c r="Y12" s="4"/>
      <c r="Z12" s="9"/>
      <c r="AA12" s="9"/>
      <c r="AB12" s="4"/>
      <c r="AC12" s="15"/>
      <c r="AD12" s="15"/>
      <c r="AE12" s="4"/>
      <c r="AF12" s="15"/>
      <c r="AG12" s="15"/>
      <c r="AH12" s="4"/>
      <c r="AI12" s="15"/>
      <c r="AJ12" s="15"/>
      <c r="AK12" s="4"/>
      <c r="AL12" s="15"/>
      <c r="AM12" s="15"/>
      <c r="AN12" s="4"/>
      <c r="AO12" s="4"/>
      <c r="AP12" s="9">
        <f t="shared" si="0"/>
        <v>0</v>
      </c>
      <c r="AQ12" s="9">
        <f t="shared" si="1"/>
        <v>0</v>
      </c>
      <c r="AR12" s="4"/>
      <c r="AS12" s="9">
        <v>0</v>
      </c>
      <c r="AT12" s="9">
        <v>0</v>
      </c>
      <c r="AU12" s="9">
        <f t="shared" si="2"/>
        <v>0</v>
      </c>
      <c r="AV12" s="43"/>
      <c r="AY12" s="46">
        <v>0</v>
      </c>
      <c r="AZ12" s="9">
        <v>0</v>
      </c>
      <c r="BA12" s="9">
        <f t="shared" si="3"/>
        <v>0</v>
      </c>
      <c r="BC12" s="46">
        <v>0</v>
      </c>
      <c r="BD12" s="9">
        <v>0</v>
      </c>
      <c r="BE12" s="9">
        <f t="shared" si="4"/>
        <v>0</v>
      </c>
    </row>
    <row r="13" spans="1:67" s="8" customFormat="1">
      <c r="C13" s="8" t="s">
        <v>32</v>
      </c>
      <c r="D13" s="4"/>
      <c r="E13" s="15"/>
      <c r="F13" s="15"/>
      <c r="G13" s="4"/>
      <c r="H13" s="15"/>
      <c r="I13" s="15"/>
      <c r="J13" s="4"/>
      <c r="K13" s="15"/>
      <c r="L13" s="15"/>
      <c r="M13" s="4"/>
      <c r="N13" s="15"/>
      <c r="O13" s="15"/>
      <c r="P13" s="4"/>
      <c r="Q13" s="15"/>
      <c r="R13" s="15"/>
      <c r="S13" s="4"/>
      <c r="T13" s="15"/>
      <c r="U13" s="15"/>
      <c r="V13" s="4"/>
      <c r="W13" s="15"/>
      <c r="X13" s="15"/>
      <c r="Y13" s="4"/>
      <c r="Z13" s="9"/>
      <c r="AA13" s="9"/>
      <c r="AB13" s="4"/>
      <c r="AC13" s="15"/>
      <c r="AD13" s="15"/>
      <c r="AE13" s="4"/>
      <c r="AF13" s="15">
        <v>30</v>
      </c>
      <c r="AG13" s="15"/>
      <c r="AH13" s="4"/>
      <c r="AI13" s="15">
        <v>60</v>
      </c>
      <c r="AJ13" s="15"/>
      <c r="AK13" s="4"/>
      <c r="AL13" s="15">
        <v>10</v>
      </c>
      <c r="AM13" s="15"/>
      <c r="AN13" s="4"/>
      <c r="AO13" s="4"/>
      <c r="AP13" s="9">
        <f t="shared" si="0"/>
        <v>100</v>
      </c>
      <c r="AQ13" s="9">
        <f t="shared" si="1"/>
        <v>0</v>
      </c>
      <c r="AR13" s="4"/>
      <c r="AS13" s="9">
        <v>150</v>
      </c>
      <c r="AT13" s="9">
        <v>0</v>
      </c>
      <c r="AU13" s="9">
        <f t="shared" si="2"/>
        <v>150</v>
      </c>
      <c r="AV13" s="43"/>
      <c r="AY13" s="51">
        <v>100</v>
      </c>
      <c r="AZ13" s="9">
        <v>0</v>
      </c>
      <c r="BA13" s="9">
        <f t="shared" si="3"/>
        <v>100</v>
      </c>
      <c r="BC13" s="51">
        <v>0</v>
      </c>
      <c r="BD13" s="9">
        <v>0</v>
      </c>
      <c r="BE13" s="9">
        <f t="shared" si="4"/>
        <v>0</v>
      </c>
    </row>
    <row r="14" spans="1:67" s="8" customFormat="1">
      <c r="C14" s="8" t="s">
        <v>11</v>
      </c>
      <c r="D14" s="4"/>
      <c r="E14" s="15"/>
      <c r="F14" s="15"/>
      <c r="G14" s="4"/>
      <c r="H14" s="15"/>
      <c r="I14" s="15">
        <v>140</v>
      </c>
      <c r="J14" s="4"/>
      <c r="K14" s="15"/>
      <c r="L14" s="15">
        <v>5000</v>
      </c>
      <c r="M14" s="4"/>
      <c r="N14" s="15"/>
      <c r="O14" s="15"/>
      <c r="P14" s="4"/>
      <c r="Q14" s="15"/>
      <c r="R14" s="15"/>
      <c r="S14" s="4"/>
      <c r="T14" s="15"/>
      <c r="U14" s="15"/>
      <c r="V14" s="4"/>
      <c r="W14" s="15"/>
      <c r="X14" s="15"/>
      <c r="Y14" s="4"/>
      <c r="Z14" s="9"/>
      <c r="AA14" s="9"/>
      <c r="AB14" s="4"/>
      <c r="AC14" s="15"/>
      <c r="AD14" s="15"/>
      <c r="AE14" s="4"/>
      <c r="AF14" s="15">
        <v>110</v>
      </c>
      <c r="AG14" s="15"/>
      <c r="AH14" s="4"/>
      <c r="AI14" s="15">
        <v>210</v>
      </c>
      <c r="AJ14" s="15"/>
      <c r="AK14" s="4"/>
      <c r="AL14" s="15">
        <v>10</v>
      </c>
      <c r="AM14" s="15"/>
      <c r="AN14" s="4"/>
      <c r="AO14" s="4"/>
      <c r="AP14" s="9">
        <f>+E14+H14+K14+N14+Q14+T14+W14+Z14+AC14+AF14+AI14+AL14</f>
        <v>330</v>
      </c>
      <c r="AQ14" s="9">
        <f>+F14+I14+L14+O14+R14+U14+X14+AA14+AD14+AG14+AJ14+AM14</f>
        <v>5140</v>
      </c>
      <c r="AR14" s="4"/>
      <c r="AS14" s="9">
        <v>0</v>
      </c>
      <c r="AT14" s="9">
        <v>5000</v>
      </c>
      <c r="AU14" s="9">
        <f>SUM(AS14:AT14)</f>
        <v>5000</v>
      </c>
      <c r="AV14" s="43" t="s">
        <v>129</v>
      </c>
      <c r="AY14" s="51">
        <v>0</v>
      </c>
      <c r="AZ14" s="9">
        <v>5200</v>
      </c>
      <c r="BA14" s="9">
        <f>SUM(AY14:AZ14)</f>
        <v>5200</v>
      </c>
      <c r="BC14" s="51">
        <v>0</v>
      </c>
      <c r="BD14" s="9">
        <v>5000</v>
      </c>
      <c r="BE14" s="9">
        <f>SUM(BC14:BD14)</f>
        <v>5000</v>
      </c>
    </row>
    <row r="15" spans="1:67" s="8" customFormat="1">
      <c r="C15" s="8" t="s">
        <v>101</v>
      </c>
      <c r="D15" s="4"/>
      <c r="E15" s="15"/>
      <c r="F15" s="15"/>
      <c r="G15" s="4"/>
      <c r="H15" s="15"/>
      <c r="I15" s="15"/>
      <c r="J15" s="4"/>
      <c r="K15" s="15"/>
      <c r="L15" s="15"/>
      <c r="M15" s="4"/>
      <c r="N15" s="15"/>
      <c r="O15" s="15"/>
      <c r="P15" s="4"/>
      <c r="Q15" s="15"/>
      <c r="R15" s="15"/>
      <c r="S15" s="4"/>
      <c r="T15" s="15"/>
      <c r="U15" s="15"/>
      <c r="V15" s="4"/>
      <c r="W15" s="15"/>
      <c r="X15" s="15"/>
      <c r="Y15" s="4"/>
      <c r="Z15" s="9"/>
      <c r="AA15" s="9"/>
      <c r="AB15" s="4"/>
      <c r="AC15" s="15"/>
      <c r="AD15" s="15"/>
      <c r="AE15" s="4"/>
      <c r="AF15" s="15">
        <v>50</v>
      </c>
      <c r="AG15" s="15"/>
      <c r="AH15" s="4"/>
      <c r="AI15" s="15">
        <v>115</v>
      </c>
      <c r="AJ15" s="15"/>
      <c r="AK15" s="4"/>
      <c r="AL15" s="15">
        <v>10</v>
      </c>
      <c r="AM15" s="15"/>
      <c r="AN15" s="4"/>
      <c r="AO15" s="4"/>
      <c r="AP15" s="9">
        <f>+E15+H15+K15+N15+Q15+T15+W15+Z15+AC15+AF15+AI15+AL15</f>
        <v>175</v>
      </c>
      <c r="AQ15" s="9">
        <f>+F15+I15+L15+O15+R15+U15+X15+AA15+AD15+AG15+AJ15+AM15</f>
        <v>0</v>
      </c>
      <c r="AR15" s="4"/>
      <c r="AS15" s="9">
        <v>200</v>
      </c>
      <c r="AT15" s="9">
        <v>0</v>
      </c>
      <c r="AU15" s="9">
        <f>SUM(AS15:AT15)</f>
        <v>200</v>
      </c>
      <c r="AV15" s="43"/>
      <c r="AY15" s="51">
        <v>150</v>
      </c>
      <c r="AZ15" s="9">
        <v>0</v>
      </c>
      <c r="BA15" s="9">
        <f>SUM(AY15:AZ15)</f>
        <v>150</v>
      </c>
      <c r="BC15" s="51">
        <v>0</v>
      </c>
      <c r="BD15" s="9">
        <v>0</v>
      </c>
      <c r="BE15" s="9">
        <f>SUM(BC15:BD15)</f>
        <v>0</v>
      </c>
    </row>
    <row r="16" spans="1:67" s="8" customFormat="1">
      <c r="C16" s="8" t="s">
        <v>28</v>
      </c>
      <c r="D16" s="4"/>
      <c r="E16" s="15"/>
      <c r="F16" s="15"/>
      <c r="G16" s="4"/>
      <c r="H16" s="15"/>
      <c r="I16" s="15"/>
      <c r="J16" s="4"/>
      <c r="K16" s="15"/>
      <c r="L16" s="15"/>
      <c r="M16" s="4"/>
      <c r="N16" s="15"/>
      <c r="O16" s="15"/>
      <c r="P16" s="4"/>
      <c r="Q16" s="15"/>
      <c r="R16" s="15"/>
      <c r="S16" s="4"/>
      <c r="T16" s="15"/>
      <c r="U16" s="15"/>
      <c r="V16" s="4"/>
      <c r="W16" s="15"/>
      <c r="X16" s="15"/>
      <c r="Y16" s="4"/>
      <c r="Z16" s="9"/>
      <c r="AA16" s="9"/>
      <c r="AB16" s="4"/>
      <c r="AC16" s="15"/>
      <c r="AD16" s="15"/>
      <c r="AE16" s="4"/>
      <c r="AF16" s="15"/>
      <c r="AG16" s="15"/>
      <c r="AH16" s="4"/>
      <c r="AI16" s="15">
        <v>250</v>
      </c>
      <c r="AJ16" s="15"/>
      <c r="AK16" s="4"/>
      <c r="AL16" s="15"/>
      <c r="AM16" s="15"/>
      <c r="AN16" s="4"/>
      <c r="AO16" s="4"/>
      <c r="AP16" s="9">
        <f t="shared" si="0"/>
        <v>250</v>
      </c>
      <c r="AQ16" s="9">
        <f t="shared" si="1"/>
        <v>0</v>
      </c>
      <c r="AR16" s="4"/>
      <c r="AS16" s="9">
        <v>150</v>
      </c>
      <c r="AT16" s="9">
        <v>0</v>
      </c>
      <c r="AU16" s="9">
        <f t="shared" si="2"/>
        <v>150</v>
      </c>
      <c r="AV16" s="43" t="s">
        <v>122</v>
      </c>
      <c r="AY16" s="9">
        <v>0</v>
      </c>
      <c r="AZ16" s="9">
        <v>0</v>
      </c>
      <c r="BA16" s="9">
        <f t="shared" ref="BA16:BA18" si="5">SUM(AY16:AZ16)</f>
        <v>0</v>
      </c>
      <c r="BC16" s="9">
        <v>0</v>
      </c>
      <c r="BD16" s="9">
        <v>0</v>
      </c>
      <c r="BE16" s="9">
        <f t="shared" ref="BE16:BE18" si="6">SUM(BC16:BD16)</f>
        <v>0</v>
      </c>
    </row>
    <row r="17" spans="2:57" s="8" customFormat="1">
      <c r="C17" s="8" t="s">
        <v>8</v>
      </c>
      <c r="D17" s="4"/>
      <c r="E17" s="15"/>
      <c r="F17" s="15"/>
      <c r="G17" s="4"/>
      <c r="H17" s="15">
        <v>220</v>
      </c>
      <c r="I17" s="15"/>
      <c r="J17" s="4"/>
      <c r="K17" s="15">
        <v>140</v>
      </c>
      <c r="L17" s="15"/>
      <c r="M17" s="4"/>
      <c r="N17" s="15">
        <v>270</v>
      </c>
      <c r="O17" s="15"/>
      <c r="P17" s="4"/>
      <c r="Q17" s="15">
        <v>140</v>
      </c>
      <c r="R17" s="15"/>
      <c r="S17" s="4"/>
      <c r="T17" s="15"/>
      <c r="U17" s="15"/>
      <c r="V17" s="4"/>
      <c r="W17" s="15"/>
      <c r="X17" s="15"/>
      <c r="Y17" s="4"/>
      <c r="Z17" s="9">
        <v>200</v>
      </c>
      <c r="AA17" s="9"/>
      <c r="AB17" s="4"/>
      <c r="AC17" s="15">
        <v>35</v>
      </c>
      <c r="AD17" s="15"/>
      <c r="AE17" s="4"/>
      <c r="AF17" s="15">
        <v>490</v>
      </c>
      <c r="AG17" s="15"/>
      <c r="AH17" s="4"/>
      <c r="AI17" s="15">
        <v>5180</v>
      </c>
      <c r="AJ17" s="15"/>
      <c r="AK17" s="4"/>
      <c r="AL17" s="15">
        <v>530</v>
      </c>
      <c r="AM17" s="15"/>
      <c r="AN17" s="4"/>
      <c r="AO17" s="4"/>
      <c r="AP17" s="9">
        <f t="shared" si="0"/>
        <v>7205</v>
      </c>
      <c r="AQ17" s="9">
        <f t="shared" si="1"/>
        <v>0</v>
      </c>
      <c r="AR17" s="4"/>
      <c r="AS17" s="9">
        <v>7000</v>
      </c>
      <c r="AT17" s="9">
        <v>0</v>
      </c>
      <c r="AU17" s="9">
        <f t="shared" si="2"/>
        <v>7000</v>
      </c>
      <c r="AV17" s="43"/>
      <c r="AY17" s="50">
        <v>7300</v>
      </c>
      <c r="AZ17" s="9">
        <v>0</v>
      </c>
      <c r="BA17" s="9">
        <f t="shared" si="5"/>
        <v>7300</v>
      </c>
      <c r="BC17" s="50">
        <v>7000</v>
      </c>
      <c r="BD17" s="9">
        <v>0</v>
      </c>
      <c r="BE17" s="9">
        <f t="shared" si="6"/>
        <v>7000</v>
      </c>
    </row>
    <row r="18" spans="2:57" s="8" customFormat="1">
      <c r="C18" s="8" t="s">
        <v>44</v>
      </c>
      <c r="D18" s="4"/>
      <c r="E18" s="15"/>
      <c r="F18" s="15"/>
      <c r="G18" s="4"/>
      <c r="H18" s="15"/>
      <c r="I18" s="15"/>
      <c r="J18" s="4"/>
      <c r="K18" s="15"/>
      <c r="L18" s="15"/>
      <c r="M18" s="4"/>
      <c r="N18" s="15"/>
      <c r="O18" s="15"/>
      <c r="P18" s="4"/>
      <c r="Q18" s="15"/>
      <c r="R18" s="15"/>
      <c r="S18" s="4"/>
      <c r="T18" s="15"/>
      <c r="U18" s="15"/>
      <c r="V18" s="4"/>
      <c r="W18" s="15"/>
      <c r="X18" s="15"/>
      <c r="Y18" s="4"/>
      <c r="Z18" s="9"/>
      <c r="AA18" s="9"/>
      <c r="AB18" s="4"/>
      <c r="AC18" s="15"/>
      <c r="AD18" s="15"/>
      <c r="AE18" s="4"/>
      <c r="AF18" s="15"/>
      <c r="AG18" s="15"/>
      <c r="AH18" s="4"/>
      <c r="AI18" s="15"/>
      <c r="AJ18" s="15"/>
      <c r="AK18" s="4"/>
      <c r="AL18" s="15"/>
      <c r="AM18" s="15"/>
      <c r="AN18" s="4"/>
      <c r="AO18" s="4"/>
      <c r="AP18" s="9">
        <f t="shared" ref="AP18:AP25" si="7">+E18+H18+K18+N18+Q18+T18+W18+Z18+AC18+AF18+AI18+AL18</f>
        <v>0</v>
      </c>
      <c r="AQ18" s="9">
        <f t="shared" ref="AQ18:AQ25" si="8">+F18+I18+L18+O18+R18+U18+X18+AA18+AD18+AG18+AJ18+AM18</f>
        <v>0</v>
      </c>
      <c r="AR18" s="4"/>
      <c r="AS18" s="9">
        <v>0</v>
      </c>
      <c r="AT18" s="9">
        <v>0</v>
      </c>
      <c r="AU18" s="9">
        <f t="shared" si="2"/>
        <v>0</v>
      </c>
      <c r="AV18" s="43"/>
      <c r="AY18" s="9">
        <v>0</v>
      </c>
      <c r="AZ18" s="9">
        <v>0</v>
      </c>
      <c r="BA18" s="9">
        <f t="shared" si="5"/>
        <v>0</v>
      </c>
      <c r="BC18" s="9">
        <v>0</v>
      </c>
      <c r="BD18" s="9">
        <v>0</v>
      </c>
      <c r="BE18" s="9">
        <f t="shared" si="6"/>
        <v>0</v>
      </c>
    </row>
    <row r="19" spans="2:57" s="8" customFormat="1">
      <c r="C19" s="8" t="s">
        <v>103</v>
      </c>
      <c r="D19" s="4"/>
      <c r="E19" s="15"/>
      <c r="F19" s="15"/>
      <c r="G19" s="4"/>
      <c r="H19" s="15"/>
      <c r="I19" s="15"/>
      <c r="J19" s="4"/>
      <c r="K19" s="15"/>
      <c r="L19" s="15"/>
      <c r="M19" s="4"/>
      <c r="N19" s="15"/>
      <c r="O19" s="15"/>
      <c r="P19" s="4"/>
      <c r="Q19" s="15"/>
      <c r="R19" s="15"/>
      <c r="S19" s="4"/>
      <c r="T19" s="15"/>
      <c r="U19" s="15"/>
      <c r="V19" s="4"/>
      <c r="W19" s="15"/>
      <c r="X19" s="15"/>
      <c r="Y19" s="4"/>
      <c r="Z19" s="9"/>
      <c r="AA19" s="9"/>
      <c r="AB19" s="4"/>
      <c r="AC19" s="15"/>
      <c r="AD19" s="15"/>
      <c r="AE19" s="4"/>
      <c r="AF19" s="15">
        <v>150</v>
      </c>
      <c r="AG19" s="15"/>
      <c r="AH19" s="4"/>
      <c r="AI19" s="15"/>
      <c r="AJ19" s="15"/>
      <c r="AK19" s="4"/>
      <c r="AL19" s="15"/>
      <c r="AM19" s="15"/>
      <c r="AN19" s="4"/>
      <c r="AO19" s="4"/>
      <c r="AP19" s="9">
        <f t="shared" si="7"/>
        <v>150</v>
      </c>
      <c r="AQ19" s="9">
        <f t="shared" si="8"/>
        <v>0</v>
      </c>
      <c r="AR19" s="4"/>
      <c r="AS19" s="9">
        <v>0</v>
      </c>
      <c r="AT19" s="9">
        <v>0</v>
      </c>
      <c r="AU19" s="9">
        <f t="shared" ref="AU19" si="9">SUM(AS19:AT19)</f>
        <v>0</v>
      </c>
      <c r="AV19" s="42"/>
      <c r="AY19" s="47">
        <v>0</v>
      </c>
      <c r="AZ19" s="9">
        <v>0</v>
      </c>
      <c r="BA19" s="9">
        <f t="shared" ref="BA19" si="10">SUM(AY19:AZ19)</f>
        <v>0</v>
      </c>
      <c r="BC19" s="47">
        <v>0</v>
      </c>
      <c r="BD19" s="9">
        <v>0</v>
      </c>
      <c r="BE19" s="9">
        <f t="shared" ref="BE19:BE27" si="11">SUM(BC19:BD19)</f>
        <v>0</v>
      </c>
    </row>
    <row r="20" spans="2:57" s="8" customFormat="1">
      <c r="C20" s="8" t="s">
        <v>9</v>
      </c>
      <c r="D20" s="4"/>
      <c r="E20" s="15"/>
      <c r="F20" s="15"/>
      <c r="G20" s="4"/>
      <c r="H20" s="15"/>
      <c r="I20" s="15"/>
      <c r="J20" s="4"/>
      <c r="K20" s="15"/>
      <c r="L20" s="15"/>
      <c r="M20" s="4"/>
      <c r="N20" s="15"/>
      <c r="O20" s="15"/>
      <c r="P20" s="4"/>
      <c r="Q20" s="15"/>
      <c r="R20" s="15"/>
      <c r="S20" s="4"/>
      <c r="T20" s="15"/>
      <c r="U20" s="15"/>
      <c r="V20" s="4"/>
      <c r="W20" s="15"/>
      <c r="X20" s="15"/>
      <c r="Y20" s="4"/>
      <c r="Z20" s="9"/>
      <c r="AA20" s="9"/>
      <c r="AB20" s="4"/>
      <c r="AC20" s="15"/>
      <c r="AD20" s="15"/>
      <c r="AE20" s="4"/>
      <c r="AF20" s="15">
        <v>3309</v>
      </c>
      <c r="AG20" s="15"/>
      <c r="AH20" s="4"/>
      <c r="AI20" s="15">
        <v>15</v>
      </c>
      <c r="AJ20" s="15"/>
      <c r="AK20" s="4"/>
      <c r="AL20" s="15"/>
      <c r="AM20" s="15"/>
      <c r="AN20" s="4"/>
      <c r="AO20" s="4"/>
      <c r="AP20" s="9">
        <f t="shared" si="7"/>
        <v>3324</v>
      </c>
      <c r="AQ20" s="9">
        <f t="shared" si="8"/>
        <v>0</v>
      </c>
      <c r="AR20" s="4"/>
      <c r="AS20" s="9">
        <v>3000</v>
      </c>
      <c r="AT20" s="9">
        <v>0</v>
      </c>
      <c r="AU20" s="9">
        <f t="shared" si="2"/>
        <v>3000</v>
      </c>
      <c r="AV20" s="43"/>
      <c r="AX20" s="8" t="s">
        <v>133</v>
      </c>
      <c r="AY20" s="48">
        <v>3405</v>
      </c>
      <c r="AZ20" s="9">
        <v>0</v>
      </c>
      <c r="BA20" s="9">
        <f t="shared" ref="BA20:BA27" si="12">SUM(AY20:AZ20)</f>
        <v>3405</v>
      </c>
      <c r="BB20" s="8" t="s">
        <v>154</v>
      </c>
      <c r="BC20" s="48">
        <v>3475</v>
      </c>
      <c r="BD20" s="9">
        <v>0</v>
      </c>
      <c r="BE20" s="9">
        <f t="shared" si="11"/>
        <v>3475</v>
      </c>
    </row>
    <row r="21" spans="2:57" s="8" customFormat="1">
      <c r="C21" s="8" t="s">
        <v>26</v>
      </c>
      <c r="D21" s="4"/>
      <c r="E21" s="15"/>
      <c r="F21" s="15"/>
      <c r="G21" s="4"/>
      <c r="H21" s="15"/>
      <c r="I21" s="15"/>
      <c r="J21" s="4"/>
      <c r="K21" s="15">
        <v>25</v>
      </c>
      <c r="L21" s="15"/>
      <c r="M21" s="4"/>
      <c r="N21" s="15"/>
      <c r="O21" s="15"/>
      <c r="P21" s="4"/>
      <c r="Q21" s="15"/>
      <c r="R21" s="15"/>
      <c r="S21" s="4"/>
      <c r="T21" s="15"/>
      <c r="U21" s="15"/>
      <c r="V21" s="4"/>
      <c r="W21" s="15"/>
      <c r="X21" s="15"/>
      <c r="Y21" s="4"/>
      <c r="Z21" s="9"/>
      <c r="AA21" s="9"/>
      <c r="AB21" s="4"/>
      <c r="AC21" s="15"/>
      <c r="AD21" s="15"/>
      <c r="AE21" s="4"/>
      <c r="AF21" s="15"/>
      <c r="AG21" s="15"/>
      <c r="AH21" s="4"/>
      <c r="AI21" s="15"/>
      <c r="AJ21" s="15"/>
      <c r="AK21" s="4"/>
      <c r="AL21" s="15"/>
      <c r="AM21" s="15"/>
      <c r="AN21" s="4"/>
      <c r="AO21" s="4"/>
      <c r="AP21" s="9">
        <f t="shared" si="7"/>
        <v>25</v>
      </c>
      <c r="AQ21" s="9">
        <f t="shared" si="8"/>
        <v>0</v>
      </c>
      <c r="AR21" s="4"/>
      <c r="AS21" s="9">
        <v>0</v>
      </c>
      <c r="AT21" s="9">
        <v>0</v>
      </c>
      <c r="AU21" s="9">
        <f t="shared" si="2"/>
        <v>0</v>
      </c>
      <c r="AV21" s="43"/>
      <c r="AY21" s="9">
        <v>0</v>
      </c>
      <c r="AZ21" s="9">
        <v>0</v>
      </c>
      <c r="BA21" s="9">
        <f t="shared" si="12"/>
        <v>0</v>
      </c>
      <c r="BC21" s="9">
        <v>0</v>
      </c>
      <c r="BD21" s="9">
        <v>0</v>
      </c>
      <c r="BE21" s="9">
        <f t="shared" si="11"/>
        <v>0</v>
      </c>
    </row>
    <row r="22" spans="2:57" s="8" customFormat="1">
      <c r="C22" s="8" t="s">
        <v>42</v>
      </c>
      <c r="D22" s="4"/>
      <c r="E22" s="15"/>
      <c r="F22" s="15"/>
      <c r="G22" s="4"/>
      <c r="H22" s="15"/>
      <c r="I22" s="15"/>
      <c r="J22" s="4"/>
      <c r="K22" s="15"/>
      <c r="L22" s="15"/>
      <c r="M22" s="4"/>
      <c r="N22" s="15"/>
      <c r="O22" s="15"/>
      <c r="P22" s="4"/>
      <c r="Q22" s="15"/>
      <c r="R22" s="15"/>
      <c r="S22" s="4"/>
      <c r="T22" s="15"/>
      <c r="U22" s="15"/>
      <c r="V22" s="4"/>
      <c r="W22" s="15"/>
      <c r="X22" s="15"/>
      <c r="Y22" s="4"/>
      <c r="Z22" s="9"/>
      <c r="AA22" s="9"/>
      <c r="AB22" s="4"/>
      <c r="AC22" s="15"/>
      <c r="AD22" s="15"/>
      <c r="AE22" s="4"/>
      <c r="AF22" s="15"/>
      <c r="AG22" s="15"/>
      <c r="AH22" s="4"/>
      <c r="AI22" s="15"/>
      <c r="AJ22" s="15"/>
      <c r="AK22" s="4"/>
      <c r="AL22" s="15"/>
      <c r="AM22" s="15"/>
      <c r="AN22" s="4"/>
      <c r="AO22" s="4"/>
      <c r="AP22" s="9">
        <f t="shared" si="7"/>
        <v>0</v>
      </c>
      <c r="AQ22" s="9">
        <f t="shared" si="8"/>
        <v>0</v>
      </c>
      <c r="AR22" s="4"/>
      <c r="AS22" s="9">
        <v>0</v>
      </c>
      <c r="AT22" s="9">
        <v>0</v>
      </c>
      <c r="AU22" s="9">
        <v>0</v>
      </c>
      <c r="AV22" s="42"/>
      <c r="AY22" s="9">
        <v>0</v>
      </c>
      <c r="AZ22" s="9">
        <v>0</v>
      </c>
      <c r="BA22" s="9">
        <f t="shared" si="12"/>
        <v>0</v>
      </c>
      <c r="BC22" s="9">
        <v>0</v>
      </c>
      <c r="BD22" s="9">
        <v>0</v>
      </c>
      <c r="BE22" s="9">
        <f t="shared" si="11"/>
        <v>0</v>
      </c>
    </row>
    <row r="23" spans="2:57" s="8" customFormat="1">
      <c r="C23" s="8" t="s">
        <v>97</v>
      </c>
      <c r="D23" s="4"/>
      <c r="E23" s="15">
        <v>0.25</v>
      </c>
      <c r="F23" s="15"/>
      <c r="G23" s="4"/>
      <c r="H23" s="15">
        <v>0.26</v>
      </c>
      <c r="I23" s="15">
        <f>67.76+145.19+18.74+1373.95+256.38+0.11+87.72+97.31+0.61</f>
        <v>2047.7699999999998</v>
      </c>
      <c r="J23" s="4"/>
      <c r="K23" s="15">
        <v>0.26</v>
      </c>
      <c r="L23" s="15">
        <f>263.82+39+96.93+0.87+25</f>
        <v>425.62</v>
      </c>
      <c r="M23" s="4"/>
      <c r="N23" s="15">
        <v>0.25</v>
      </c>
      <c r="O23" s="15">
        <v>-16904.98</v>
      </c>
      <c r="P23" s="4"/>
      <c r="Q23" s="15">
        <v>0.25</v>
      </c>
      <c r="R23" s="15">
        <v>92.61</v>
      </c>
      <c r="S23" s="4"/>
      <c r="T23" s="15"/>
      <c r="U23" s="15"/>
      <c r="V23" s="4"/>
      <c r="W23" s="15"/>
      <c r="X23" s="15"/>
      <c r="Y23" s="4"/>
      <c r="Z23" s="9">
        <v>0.69</v>
      </c>
      <c r="AA23" s="9">
        <f>102.03+102.61+6568.56</f>
        <v>6773.2000000000007</v>
      </c>
      <c r="AB23" s="4"/>
      <c r="AC23" s="15">
        <v>0.2</v>
      </c>
      <c r="AD23" s="15">
        <f>5.09+282.23+80.31+89.26</f>
        <v>456.89</v>
      </c>
      <c r="AE23" s="4"/>
      <c r="AF23" s="15">
        <v>0.22</v>
      </c>
      <c r="AG23" s="15">
        <v>104.14</v>
      </c>
      <c r="AH23" s="4"/>
      <c r="AI23" s="15">
        <v>0.23</v>
      </c>
      <c r="AJ23" s="15">
        <f>117.06+6.86+100.77+6.4</f>
        <v>231.09</v>
      </c>
      <c r="AK23" s="4"/>
      <c r="AL23" s="15">
        <v>0.24</v>
      </c>
      <c r="AM23" s="15">
        <f>141.08+453.16+1.4+2099.68+283.45+7.5</f>
        <v>2986.2699999999995</v>
      </c>
      <c r="AN23" s="4"/>
      <c r="AO23" s="4"/>
      <c r="AP23" s="9">
        <f t="shared" si="7"/>
        <v>2.8500000000000005</v>
      </c>
      <c r="AQ23" s="9">
        <f t="shared" si="8"/>
        <v>-3787.3899999999985</v>
      </c>
      <c r="AR23" s="4"/>
      <c r="AS23" s="9">
        <v>0</v>
      </c>
      <c r="AT23" s="9">
        <v>0</v>
      </c>
      <c r="AU23" s="9">
        <v>9</v>
      </c>
      <c r="AV23" s="43"/>
      <c r="AY23" s="9">
        <v>0</v>
      </c>
      <c r="AZ23" s="9">
        <v>0</v>
      </c>
      <c r="BA23" s="9">
        <f t="shared" si="12"/>
        <v>0</v>
      </c>
      <c r="BC23" s="9">
        <v>0</v>
      </c>
      <c r="BD23" s="9">
        <v>0</v>
      </c>
      <c r="BE23" s="9">
        <f t="shared" si="11"/>
        <v>0</v>
      </c>
    </row>
    <row r="24" spans="2:57" s="8" customFormat="1">
      <c r="C24" s="8" t="s">
        <v>98</v>
      </c>
      <c r="D24" s="4"/>
      <c r="E24" s="15"/>
      <c r="F24" s="15"/>
      <c r="G24" s="4"/>
      <c r="H24" s="15"/>
      <c r="I24" s="15">
        <f>-I23</f>
        <v>-2047.7699999999998</v>
      </c>
      <c r="J24" s="4"/>
      <c r="K24" s="15"/>
      <c r="L24" s="15">
        <f>-L23</f>
        <v>-425.62</v>
      </c>
      <c r="M24" s="4"/>
      <c r="N24" s="15"/>
      <c r="O24" s="15">
        <v>-95.02</v>
      </c>
      <c r="P24" s="4"/>
      <c r="Q24" s="15"/>
      <c r="R24" s="15">
        <v>-92.61</v>
      </c>
      <c r="S24" s="4"/>
      <c r="T24" s="15"/>
      <c r="U24" s="15"/>
      <c r="V24" s="4"/>
      <c r="W24" s="15"/>
      <c r="X24" s="15"/>
      <c r="Y24" s="4"/>
      <c r="Z24" s="9"/>
      <c r="AA24" s="9">
        <f>-AA23-12.43</f>
        <v>-6785.630000000001</v>
      </c>
      <c r="AB24" s="4"/>
      <c r="AC24" s="15"/>
      <c r="AD24" s="15">
        <f>-AD23</f>
        <v>-456.89</v>
      </c>
      <c r="AE24" s="4"/>
      <c r="AF24" s="15"/>
      <c r="AG24" s="15">
        <v>-104.14</v>
      </c>
      <c r="AH24" s="4"/>
      <c r="AI24" s="15"/>
      <c r="AJ24" s="15">
        <v>-231.09</v>
      </c>
      <c r="AK24" s="4"/>
      <c r="AL24" s="15"/>
      <c r="AM24" s="15">
        <f>-AM23</f>
        <v>-2986.2699999999995</v>
      </c>
      <c r="AN24" s="4"/>
      <c r="AO24" s="4"/>
      <c r="AP24" s="9">
        <f t="shared" ref="AP24" si="13">+E24+H24+K24+N24+Q24+T24+W24+Z24+AC24+AF24+AI24+AL24</f>
        <v>0</v>
      </c>
      <c r="AQ24" s="9">
        <f t="shared" ref="AQ24" si="14">+F24+I24+L24+O24+R24+U24+X24+AA24+AD24+AG24+AJ24+AM24</f>
        <v>-13225.04</v>
      </c>
      <c r="AR24" s="4"/>
      <c r="AS24" s="9">
        <v>0</v>
      </c>
      <c r="AT24" s="9">
        <v>0</v>
      </c>
      <c r="AU24" s="9">
        <f t="shared" si="2"/>
        <v>0</v>
      </c>
      <c r="AV24" s="43"/>
      <c r="AY24" s="9">
        <v>0</v>
      </c>
      <c r="AZ24" s="9">
        <v>0</v>
      </c>
      <c r="BA24" s="9">
        <f t="shared" si="12"/>
        <v>0</v>
      </c>
      <c r="BC24" s="9">
        <v>0</v>
      </c>
      <c r="BD24" s="9">
        <v>0</v>
      </c>
      <c r="BE24" s="9">
        <f t="shared" si="11"/>
        <v>0</v>
      </c>
    </row>
    <row r="25" spans="2:57" s="8" customFormat="1">
      <c r="C25" s="8" t="s">
        <v>96</v>
      </c>
      <c r="D25" s="4"/>
      <c r="E25" s="15"/>
      <c r="F25" s="15"/>
      <c r="G25" s="4"/>
      <c r="H25" s="15"/>
      <c r="I25" s="8">
        <v>1153.6199999999999</v>
      </c>
      <c r="J25" s="4"/>
      <c r="K25" s="15"/>
      <c r="L25" s="15" t="e">
        <f>136241.06-#REF!</f>
        <v>#REF!</v>
      </c>
      <c r="M25" s="4"/>
      <c r="N25" s="15"/>
      <c r="O25" s="15">
        <v>20552.740000000002</v>
      </c>
      <c r="P25" s="4"/>
      <c r="Q25" s="15"/>
      <c r="R25" s="15">
        <v>2423.67</v>
      </c>
      <c r="S25" s="4"/>
      <c r="T25" s="15"/>
      <c r="U25" s="15"/>
      <c r="V25" s="4"/>
      <c r="W25" s="15"/>
      <c r="X25" s="15"/>
      <c r="Y25" s="4"/>
      <c r="Z25" s="10"/>
      <c r="AA25" s="10" t="e">
        <f>166774.38-#REF!</f>
        <v>#REF!</v>
      </c>
      <c r="AB25" s="4"/>
      <c r="AC25" s="16"/>
      <c r="AD25" s="16" t="e">
        <f>162142.89-#REF!</f>
        <v>#REF!</v>
      </c>
      <c r="AE25" s="4"/>
      <c r="AF25" s="15"/>
      <c r="AG25" s="15">
        <f>164714.31-162142.89</f>
        <v>2571.4199999999837</v>
      </c>
      <c r="AH25" s="4"/>
      <c r="AI25" s="15"/>
      <c r="AJ25" s="15" t="e">
        <f>167174.59-#REF!</f>
        <v>#REF!</v>
      </c>
      <c r="AK25" s="4"/>
      <c r="AL25" s="15"/>
      <c r="AM25" s="15" t="e">
        <f>166038.15-#REF!</f>
        <v>#REF!</v>
      </c>
      <c r="AN25" s="4"/>
      <c r="AO25" s="4"/>
      <c r="AP25" s="9">
        <f t="shared" si="7"/>
        <v>0</v>
      </c>
      <c r="AQ25" s="9" t="e">
        <f t="shared" si="8"/>
        <v>#REF!</v>
      </c>
      <c r="AR25" s="4"/>
      <c r="AS25" s="9">
        <v>0</v>
      </c>
      <c r="AT25" s="9">
        <v>0</v>
      </c>
      <c r="AU25" s="9">
        <f t="shared" si="2"/>
        <v>0</v>
      </c>
      <c r="AV25" s="43"/>
      <c r="AY25" s="9">
        <v>0</v>
      </c>
      <c r="AZ25" s="9">
        <v>0</v>
      </c>
      <c r="BA25" s="9">
        <f t="shared" si="12"/>
        <v>0</v>
      </c>
      <c r="BC25" s="9">
        <v>0</v>
      </c>
      <c r="BD25" s="9">
        <v>0</v>
      </c>
      <c r="BE25" s="9">
        <f t="shared" si="11"/>
        <v>0</v>
      </c>
    </row>
    <row r="26" spans="2:57" s="8" customFormat="1">
      <c r="C26" s="4" t="s">
        <v>33</v>
      </c>
      <c r="D26" s="4"/>
      <c r="E26" s="15"/>
      <c r="F26" s="15"/>
      <c r="G26" s="4"/>
      <c r="H26" s="15"/>
      <c r="I26" s="15"/>
      <c r="J26" s="4"/>
      <c r="K26" s="15"/>
      <c r="L26" s="15"/>
      <c r="M26" s="4"/>
      <c r="N26" s="15"/>
      <c r="O26" s="15"/>
      <c r="P26" s="4"/>
      <c r="Q26" s="15"/>
      <c r="R26" s="15"/>
      <c r="S26" s="4"/>
      <c r="T26" s="15"/>
      <c r="U26" s="15"/>
      <c r="V26" s="4"/>
      <c r="W26" s="15"/>
      <c r="X26" s="15"/>
      <c r="Y26" s="4"/>
      <c r="Z26" s="10"/>
      <c r="AA26" s="10"/>
      <c r="AB26" s="4"/>
      <c r="AC26" s="16"/>
      <c r="AD26" s="16"/>
      <c r="AE26" s="4"/>
      <c r="AF26" s="15"/>
      <c r="AG26" s="15"/>
      <c r="AH26" s="4"/>
      <c r="AI26" s="15"/>
      <c r="AJ26" s="15"/>
      <c r="AK26" s="4"/>
      <c r="AL26" s="15"/>
      <c r="AM26" s="15"/>
      <c r="AN26" s="4"/>
      <c r="AO26" s="4"/>
      <c r="AP26" s="9">
        <f t="shared" si="0"/>
        <v>0</v>
      </c>
      <c r="AQ26" s="9">
        <f t="shared" si="1"/>
        <v>0</v>
      </c>
      <c r="AR26" s="4"/>
      <c r="AS26" s="9">
        <v>0</v>
      </c>
      <c r="AT26" s="9">
        <v>0</v>
      </c>
      <c r="AU26" s="9">
        <f t="shared" si="2"/>
        <v>0</v>
      </c>
      <c r="AV26" s="43"/>
      <c r="AY26" s="9">
        <v>0</v>
      </c>
      <c r="AZ26" s="9">
        <v>0</v>
      </c>
      <c r="BA26" s="9">
        <f t="shared" si="12"/>
        <v>0</v>
      </c>
      <c r="BC26" s="9">
        <v>0</v>
      </c>
      <c r="BD26" s="9">
        <v>0</v>
      </c>
      <c r="BE26" s="9">
        <f t="shared" si="11"/>
        <v>0</v>
      </c>
    </row>
    <row r="27" spans="2:57" s="8" customFormat="1">
      <c r="D27" s="4"/>
      <c r="E27" s="15"/>
      <c r="F27" s="15"/>
      <c r="G27" s="4"/>
      <c r="H27" s="15"/>
      <c r="I27" s="15"/>
      <c r="J27" s="4"/>
      <c r="K27" s="15"/>
      <c r="L27" s="15"/>
      <c r="M27" s="4"/>
      <c r="N27" s="15"/>
      <c r="O27" s="15"/>
      <c r="P27" s="4"/>
      <c r="Q27" s="15"/>
      <c r="R27" s="15"/>
      <c r="S27" s="4"/>
      <c r="T27" s="15"/>
      <c r="U27" s="15"/>
      <c r="V27" s="4"/>
      <c r="W27" s="15"/>
      <c r="X27" s="15"/>
      <c r="Y27" s="4"/>
      <c r="Z27" s="15"/>
      <c r="AA27" s="15"/>
      <c r="AB27" s="15"/>
      <c r="AC27" s="15"/>
      <c r="AD27" s="15"/>
      <c r="AE27" s="4"/>
      <c r="AF27" s="15"/>
      <c r="AG27" s="15"/>
      <c r="AH27" s="4"/>
      <c r="AI27" s="15"/>
      <c r="AJ27" s="15"/>
      <c r="AK27" s="4"/>
      <c r="AL27" s="15"/>
      <c r="AM27" s="15"/>
      <c r="AN27" s="4"/>
      <c r="AO27" s="4"/>
      <c r="AP27" s="9">
        <f t="shared" si="0"/>
        <v>0</v>
      </c>
      <c r="AQ27" s="9">
        <f t="shared" si="1"/>
        <v>0</v>
      </c>
      <c r="AR27" s="4"/>
      <c r="AS27" s="9">
        <v>0</v>
      </c>
      <c r="AT27" s="9">
        <v>0</v>
      </c>
      <c r="AU27" s="9">
        <f t="shared" si="2"/>
        <v>0</v>
      </c>
      <c r="AV27" s="43"/>
      <c r="AY27" s="9">
        <v>0</v>
      </c>
      <c r="AZ27" s="9">
        <v>0</v>
      </c>
      <c r="BA27" s="9">
        <f t="shared" si="12"/>
        <v>0</v>
      </c>
      <c r="BC27" s="9">
        <v>0</v>
      </c>
      <c r="BD27" s="9">
        <v>0</v>
      </c>
      <c r="BE27" s="9">
        <f t="shared" si="11"/>
        <v>0</v>
      </c>
    </row>
    <row r="28" spans="2:57" s="11" customFormat="1">
      <c r="D28" s="12"/>
      <c r="E28" s="11">
        <f>SUM(E8:E27)</f>
        <v>0.25</v>
      </c>
      <c r="F28" s="11">
        <f>SUM(F8:F27)</f>
        <v>0</v>
      </c>
      <c r="H28" s="11">
        <f>SUM(H8:H27)</f>
        <v>220.26</v>
      </c>
      <c r="I28" s="11">
        <f>SUM(I8:I27)</f>
        <v>1293.6199999999997</v>
      </c>
      <c r="K28" s="11">
        <f>SUM(K8:K27)</f>
        <v>165.26</v>
      </c>
      <c r="L28" s="11" t="e">
        <f>SUM(L8:L27)</f>
        <v>#REF!</v>
      </c>
      <c r="N28" s="11">
        <f>SUM(N8:N27)</f>
        <v>270.25</v>
      </c>
      <c r="O28" s="11">
        <f>SUM(O8:O27)</f>
        <v>3552.7400000000016</v>
      </c>
      <c r="Q28" s="11">
        <f>SUM(Q8:Q27)</f>
        <v>140.25</v>
      </c>
      <c r="R28" s="11">
        <f>SUM(R8:R27)</f>
        <v>2423.67</v>
      </c>
      <c r="T28" s="11">
        <f>SUM(T8:T27)</f>
        <v>0</v>
      </c>
      <c r="U28" s="11">
        <f>SUM(U8:U27)</f>
        <v>0</v>
      </c>
      <c r="W28" s="11">
        <f>SUM(W8:W27)</f>
        <v>0</v>
      </c>
      <c r="X28" s="11">
        <f>SUM(X8:X27)</f>
        <v>0</v>
      </c>
      <c r="Z28" s="11">
        <f>SUM(Z8:Z27)</f>
        <v>965.69</v>
      </c>
      <c r="AA28" s="11" t="e">
        <f>SUM(AA8:AA27)</f>
        <v>#REF!</v>
      </c>
      <c r="AC28" s="11">
        <f>SUM(AC8:AC27)</f>
        <v>255.2</v>
      </c>
      <c r="AD28" s="11" t="e">
        <f>SUM(AD8:AD27)</f>
        <v>#REF!</v>
      </c>
      <c r="AF28" s="11">
        <f>SUM(AF8:AF27)</f>
        <v>4174.22</v>
      </c>
      <c r="AG28" s="11">
        <f>SUM(AG8:AG27)</f>
        <v>2571.4199999999837</v>
      </c>
      <c r="AI28" s="11">
        <f>SUM(AI8:AI27)</f>
        <v>5830.23</v>
      </c>
      <c r="AJ28" s="11" t="e">
        <f>SUM(AJ8:AJ27)</f>
        <v>#REF!</v>
      </c>
      <c r="AL28" s="11">
        <f>SUM(AL8:AL27)</f>
        <v>560.24</v>
      </c>
      <c r="AM28" s="11" t="e">
        <f>SUM(AM8:AM27)</f>
        <v>#REF!</v>
      </c>
      <c r="AP28" s="11">
        <f>SUM(AP8:AP27)</f>
        <v>12581.85</v>
      </c>
      <c r="AQ28" s="11" t="e">
        <f>SUM(AQ8:AQ27)</f>
        <v>#REF!</v>
      </c>
      <c r="AR28" s="12"/>
      <c r="AS28" s="11">
        <f>SUM(AS8:AS27)</f>
        <v>11570</v>
      </c>
      <c r="AT28" s="11">
        <f>SUM(AT8:AT27)</f>
        <v>5000</v>
      </c>
      <c r="AU28" s="11">
        <f>SUM(AU8:AU27)</f>
        <v>16579</v>
      </c>
      <c r="AV28" s="44"/>
      <c r="AY28" s="11">
        <f>SUM(AY8:AY27)</f>
        <v>11955</v>
      </c>
      <c r="AZ28" s="11">
        <f>SUM(AZ8:AZ27)</f>
        <v>5200</v>
      </c>
      <c r="BA28" s="11">
        <f>SUM(BA8:BA27)</f>
        <v>17155</v>
      </c>
      <c r="BC28" s="11">
        <f>SUM(BC8:BC27)</f>
        <v>11525</v>
      </c>
      <c r="BD28" s="11">
        <f>SUM(BD8:BD27)</f>
        <v>5000</v>
      </c>
      <c r="BE28" s="11">
        <f>SUM(BE8:BE27)</f>
        <v>16525</v>
      </c>
    </row>
    <row r="29" spans="2:57" s="8" customFormat="1">
      <c r="B29" s="11" t="s">
        <v>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R29" s="4"/>
      <c r="AV29" s="43"/>
    </row>
    <row r="30" spans="2:57" s="8" customFormat="1">
      <c r="C30" s="8" t="s">
        <v>13</v>
      </c>
      <c r="D30" s="4"/>
      <c r="E30" s="15"/>
      <c r="F30" s="15"/>
      <c r="G30" s="4"/>
      <c r="H30" s="15"/>
      <c r="I30" s="15"/>
      <c r="J30" s="4"/>
      <c r="K30" s="15">
        <v>117.23</v>
      </c>
      <c r="L30" s="15"/>
      <c r="M30" s="4"/>
      <c r="N30" s="15"/>
      <c r="O30" s="15"/>
      <c r="P30" s="4"/>
      <c r="Q30" s="15"/>
      <c r="R30" s="15"/>
      <c r="S30" s="4"/>
      <c r="T30" s="15"/>
      <c r="U30" s="15"/>
      <c r="V30" s="4"/>
      <c r="W30" s="15"/>
      <c r="X30" s="15"/>
      <c r="Y30" s="4"/>
      <c r="Z30" s="9">
        <v>362.9</v>
      </c>
      <c r="AA30" s="9"/>
      <c r="AB30" s="4"/>
      <c r="AC30" s="15"/>
      <c r="AD30" s="15"/>
      <c r="AE30" s="4"/>
      <c r="AF30" s="15"/>
      <c r="AG30" s="15"/>
      <c r="AH30" s="4"/>
      <c r="AI30" s="15">
        <v>215.54</v>
      </c>
      <c r="AJ30" s="15"/>
      <c r="AK30" s="4"/>
      <c r="AL30" s="15"/>
      <c r="AM30" s="15"/>
      <c r="AN30" s="4"/>
      <c r="AO30" s="4"/>
      <c r="AP30" s="9">
        <f t="shared" ref="AP30:AP57" si="15">+E30+H30+K30+N30+Q30+T30+W30+Z30+AC30+AF30+AI30+AL30</f>
        <v>695.67</v>
      </c>
      <c r="AQ30" s="9">
        <f t="shared" ref="AQ30:AQ57" si="16">+F30+I30+L30+O30+R30+U30+X30+AA30+AD30+AG30+AJ30+AM30</f>
        <v>0</v>
      </c>
      <c r="AR30" s="4"/>
      <c r="AS30" s="9">
        <v>700</v>
      </c>
      <c r="AT30" s="9">
        <v>0</v>
      </c>
      <c r="AU30" s="9">
        <f t="shared" si="2"/>
        <v>700</v>
      </c>
      <c r="AV30" s="43"/>
      <c r="AY30" s="52">
        <v>700</v>
      </c>
      <c r="AZ30" s="9">
        <v>0</v>
      </c>
      <c r="BA30" s="9">
        <f t="shared" ref="BA30:BA47" si="17">SUM(AY30:AZ30)</f>
        <v>700</v>
      </c>
      <c r="BC30" s="52">
        <v>700</v>
      </c>
      <c r="BD30" s="9">
        <v>0</v>
      </c>
      <c r="BE30" s="9">
        <f t="shared" ref="BE30:BE47" si="18">SUM(BC30:BD30)</f>
        <v>700</v>
      </c>
    </row>
    <row r="31" spans="2:57" s="8" customFormat="1" ht="28">
      <c r="C31" s="8" t="s">
        <v>143</v>
      </c>
      <c r="D31" s="4"/>
      <c r="E31" s="15"/>
      <c r="F31" s="15"/>
      <c r="G31" s="4"/>
      <c r="H31" s="15"/>
      <c r="I31" s="15"/>
      <c r="J31" s="4"/>
      <c r="K31" s="15"/>
      <c r="L31" s="15"/>
      <c r="M31" s="4"/>
      <c r="N31" s="15"/>
      <c r="O31" s="15"/>
      <c r="P31" s="4"/>
      <c r="Q31" s="15"/>
      <c r="R31" s="15"/>
      <c r="S31" s="4"/>
      <c r="T31" s="15"/>
      <c r="U31" s="15"/>
      <c r="V31" s="4"/>
      <c r="W31" s="15"/>
      <c r="X31" s="15"/>
      <c r="Y31" s="4"/>
      <c r="Z31" s="9"/>
      <c r="AA31" s="9"/>
      <c r="AB31" s="4"/>
      <c r="AC31" s="15"/>
      <c r="AD31" s="15"/>
      <c r="AE31" s="4"/>
      <c r="AF31" s="15"/>
      <c r="AG31" s="15"/>
      <c r="AH31" s="4"/>
      <c r="AI31" s="15">
        <f>5000-5000</f>
        <v>0</v>
      </c>
      <c r="AJ31" s="15">
        <v>5000</v>
      </c>
      <c r="AK31" s="4"/>
      <c r="AL31" s="15"/>
      <c r="AM31" s="15"/>
      <c r="AN31" s="4"/>
      <c r="AO31" s="4"/>
      <c r="AP31" s="9">
        <f t="shared" si="15"/>
        <v>0</v>
      </c>
      <c r="AQ31" s="9">
        <f t="shared" si="16"/>
        <v>5000</v>
      </c>
      <c r="AR31" s="4"/>
      <c r="AS31" s="9">
        <v>0</v>
      </c>
      <c r="AT31" s="9">
        <v>7000</v>
      </c>
      <c r="AU31" s="9">
        <f t="shared" si="2"/>
        <v>7000</v>
      </c>
      <c r="AV31" s="45" t="s">
        <v>131</v>
      </c>
      <c r="AX31" s="8" t="s">
        <v>144</v>
      </c>
      <c r="AY31" s="52">
        <v>0</v>
      </c>
      <c r="AZ31" s="9">
        <v>6000</v>
      </c>
      <c r="BA31" s="9">
        <f t="shared" si="17"/>
        <v>6000</v>
      </c>
      <c r="BC31" s="52">
        <v>0</v>
      </c>
      <c r="BD31" s="9">
        <v>6000</v>
      </c>
      <c r="BE31" s="9">
        <f t="shared" si="18"/>
        <v>6000</v>
      </c>
    </row>
    <row r="32" spans="2:57" s="8" customFormat="1">
      <c r="C32" s="8" t="s">
        <v>15</v>
      </c>
      <c r="D32" s="4"/>
      <c r="E32" s="15"/>
      <c r="F32" s="15"/>
      <c r="G32" s="4"/>
      <c r="H32" s="15"/>
      <c r="I32" s="15"/>
      <c r="J32" s="4"/>
      <c r="K32" s="15"/>
      <c r="L32" s="15"/>
      <c r="M32" s="4"/>
      <c r="N32" s="15"/>
      <c r="O32" s="15"/>
      <c r="P32" s="4"/>
      <c r="Q32" s="15"/>
      <c r="R32" s="15"/>
      <c r="S32" s="4"/>
      <c r="T32" s="15"/>
      <c r="U32" s="15"/>
      <c r="V32" s="4"/>
      <c r="W32" s="15"/>
      <c r="X32" s="15"/>
      <c r="Y32" s="4"/>
      <c r="Z32" s="9"/>
      <c r="AA32" s="9"/>
      <c r="AB32" s="4"/>
      <c r="AC32" s="15"/>
      <c r="AD32" s="15"/>
      <c r="AE32" s="4"/>
      <c r="AF32" s="15">
        <v>125</v>
      </c>
      <c r="AG32" s="15"/>
      <c r="AH32" s="4"/>
      <c r="AI32" s="15"/>
      <c r="AJ32" s="15"/>
      <c r="AK32" s="4"/>
      <c r="AL32" s="15"/>
      <c r="AM32" s="15"/>
      <c r="AN32" s="4"/>
      <c r="AO32" s="4"/>
      <c r="AP32" s="9">
        <f t="shared" si="15"/>
        <v>125</v>
      </c>
      <c r="AQ32" s="9">
        <f t="shared" si="16"/>
        <v>0</v>
      </c>
      <c r="AR32" s="4"/>
      <c r="AS32" s="9">
        <v>145</v>
      </c>
      <c r="AT32" s="9">
        <v>0</v>
      </c>
      <c r="AU32" s="9">
        <f t="shared" si="2"/>
        <v>145</v>
      </c>
      <c r="AV32" s="43"/>
      <c r="AY32" s="46">
        <v>125</v>
      </c>
      <c r="AZ32" s="9">
        <v>0</v>
      </c>
      <c r="BA32" s="9">
        <f t="shared" si="17"/>
        <v>125</v>
      </c>
      <c r="BC32" s="46">
        <v>125</v>
      </c>
      <c r="BD32" s="9">
        <v>0</v>
      </c>
      <c r="BE32" s="9">
        <f t="shared" si="18"/>
        <v>125</v>
      </c>
    </row>
    <row r="33" spans="3:57" s="8" customFormat="1">
      <c r="C33" s="8" t="s">
        <v>106</v>
      </c>
      <c r="D33" s="4"/>
      <c r="E33" s="15"/>
      <c r="F33" s="15"/>
      <c r="G33" s="4"/>
      <c r="H33" s="15"/>
      <c r="I33" s="15"/>
      <c r="J33" s="4"/>
      <c r="K33" s="15"/>
      <c r="L33" s="15"/>
      <c r="M33" s="4"/>
      <c r="N33" s="15"/>
      <c r="O33" s="15"/>
      <c r="P33" s="4"/>
      <c r="Q33" s="15"/>
      <c r="R33" s="15"/>
      <c r="S33" s="4"/>
      <c r="T33" s="15"/>
      <c r="U33" s="15"/>
      <c r="V33" s="4"/>
      <c r="W33" s="15"/>
      <c r="X33" s="15"/>
      <c r="Y33" s="4"/>
      <c r="Z33" s="9"/>
      <c r="AA33" s="9"/>
      <c r="AB33" s="4"/>
      <c r="AC33" s="15"/>
      <c r="AD33" s="15"/>
      <c r="AE33" s="4"/>
      <c r="AF33" s="15"/>
      <c r="AG33" s="15"/>
      <c r="AH33" s="4"/>
      <c r="AI33" s="15"/>
      <c r="AJ33" s="15"/>
      <c r="AK33" s="4"/>
      <c r="AL33" s="15"/>
      <c r="AM33" s="15"/>
      <c r="AN33" s="4"/>
      <c r="AO33" s="4"/>
      <c r="AP33" s="9">
        <f t="shared" ref="AP33:AP35" si="19">+E33+H33+K33+N33+Q33+T33+W33+Z33+AC33+AF33+AI33+AL33</f>
        <v>0</v>
      </c>
      <c r="AQ33" s="9">
        <f t="shared" ref="AQ33:AQ35" si="20">+F33+I33+L33+O33+R33+U33+X33+AA33+AD33+AG33+AJ33+AM33</f>
        <v>0</v>
      </c>
      <c r="AR33" s="4"/>
      <c r="AS33" s="9">
        <v>150</v>
      </c>
      <c r="AT33" s="9">
        <v>0</v>
      </c>
      <c r="AU33" s="9">
        <f t="shared" si="2"/>
        <v>150</v>
      </c>
      <c r="AV33" s="43"/>
      <c r="AY33" s="49">
        <v>0</v>
      </c>
      <c r="AZ33" s="9">
        <v>0</v>
      </c>
      <c r="BA33" s="9">
        <f t="shared" si="17"/>
        <v>0</v>
      </c>
      <c r="BC33" s="49">
        <v>0</v>
      </c>
      <c r="BD33" s="9">
        <v>0</v>
      </c>
      <c r="BE33" s="9">
        <f t="shared" si="18"/>
        <v>0</v>
      </c>
    </row>
    <row r="34" spans="3:57" s="8" customFormat="1">
      <c r="C34" s="8" t="s">
        <v>16</v>
      </c>
      <c r="D34" s="4"/>
      <c r="E34" s="15"/>
      <c r="F34" s="15"/>
      <c r="G34" s="4"/>
      <c r="H34" s="15"/>
      <c r="I34" s="15"/>
      <c r="J34" s="4"/>
      <c r="K34" s="15"/>
      <c r="L34" s="15"/>
      <c r="M34" s="4"/>
      <c r="N34" s="15"/>
      <c r="O34" s="15"/>
      <c r="P34" s="4"/>
      <c r="Q34" s="15"/>
      <c r="R34" s="15"/>
      <c r="S34" s="4"/>
      <c r="T34" s="15"/>
      <c r="U34" s="15"/>
      <c r="V34" s="4"/>
      <c r="W34" s="15"/>
      <c r="X34" s="15"/>
      <c r="Y34" s="4"/>
      <c r="Z34" s="9"/>
      <c r="AA34" s="9"/>
      <c r="AB34" s="4"/>
      <c r="AC34" s="15"/>
      <c r="AD34" s="15"/>
      <c r="AE34" s="4"/>
      <c r="AF34" s="15"/>
      <c r="AG34" s="15"/>
      <c r="AH34" s="4"/>
      <c r="AI34" s="15"/>
      <c r="AJ34" s="15"/>
      <c r="AK34" s="4"/>
      <c r="AL34" s="15"/>
      <c r="AM34" s="15"/>
      <c r="AN34" s="4"/>
      <c r="AO34" s="4"/>
      <c r="AP34" s="9">
        <f t="shared" si="19"/>
        <v>0</v>
      </c>
      <c r="AQ34" s="9">
        <f t="shared" si="20"/>
        <v>0</v>
      </c>
      <c r="AR34" s="4"/>
      <c r="AS34" s="9">
        <v>35</v>
      </c>
      <c r="AT34" s="9">
        <v>0</v>
      </c>
      <c r="AU34" s="9">
        <f t="shared" si="2"/>
        <v>35</v>
      </c>
      <c r="AV34" s="43"/>
      <c r="AY34" s="46">
        <v>35</v>
      </c>
      <c r="AZ34" s="9">
        <v>0</v>
      </c>
      <c r="BA34" s="9">
        <f t="shared" si="17"/>
        <v>35</v>
      </c>
      <c r="BC34" s="46">
        <v>35</v>
      </c>
      <c r="BD34" s="9">
        <v>0</v>
      </c>
      <c r="BE34" s="9">
        <f t="shared" si="18"/>
        <v>35</v>
      </c>
    </row>
    <row r="35" spans="3:57" s="8" customFormat="1">
      <c r="C35" s="8" t="s">
        <v>85</v>
      </c>
      <c r="D35" s="4"/>
      <c r="E35" s="15"/>
      <c r="F35" s="15"/>
      <c r="G35" s="4"/>
      <c r="H35" s="15"/>
      <c r="I35" s="15"/>
      <c r="J35" s="4"/>
      <c r="K35" s="15"/>
      <c r="L35" s="15"/>
      <c r="M35" s="4"/>
      <c r="N35" s="15"/>
      <c r="O35" s="15"/>
      <c r="P35" s="4"/>
      <c r="Q35" s="15"/>
      <c r="R35" s="15"/>
      <c r="S35" s="4"/>
      <c r="T35" s="15"/>
      <c r="U35" s="15"/>
      <c r="V35" s="4"/>
      <c r="W35" s="15"/>
      <c r="X35" s="15"/>
      <c r="Y35" s="4"/>
      <c r="Z35" s="9"/>
      <c r="AA35" s="9"/>
      <c r="AB35" s="4"/>
      <c r="AC35" s="15"/>
      <c r="AD35" s="15"/>
      <c r="AE35" s="4"/>
      <c r="AF35" s="15"/>
      <c r="AG35" s="15"/>
      <c r="AH35" s="4"/>
      <c r="AI35" s="15"/>
      <c r="AJ35" s="15"/>
      <c r="AK35" s="4"/>
      <c r="AL35" s="15"/>
      <c r="AM35" s="15"/>
      <c r="AN35" s="4"/>
      <c r="AO35" s="4"/>
      <c r="AP35" s="9">
        <f t="shared" si="19"/>
        <v>0</v>
      </c>
      <c r="AQ35" s="9">
        <f t="shared" si="20"/>
        <v>0</v>
      </c>
      <c r="AR35" s="4"/>
      <c r="AS35" s="9">
        <v>50</v>
      </c>
      <c r="AT35" s="9">
        <v>0</v>
      </c>
      <c r="AU35" s="9">
        <f t="shared" si="2"/>
        <v>50</v>
      </c>
      <c r="AV35" s="43"/>
      <c r="AY35" s="52">
        <v>0</v>
      </c>
      <c r="AZ35" s="9">
        <v>0</v>
      </c>
      <c r="BA35" s="9">
        <f t="shared" si="17"/>
        <v>0</v>
      </c>
      <c r="BC35" s="52">
        <v>75</v>
      </c>
      <c r="BD35" s="9">
        <v>0</v>
      </c>
      <c r="BE35" s="9">
        <f t="shared" si="18"/>
        <v>75</v>
      </c>
    </row>
    <row r="36" spans="3:57" s="8" customFormat="1">
      <c r="C36" s="8" t="s">
        <v>17</v>
      </c>
      <c r="D36" s="4"/>
      <c r="E36" s="15"/>
      <c r="F36" s="15"/>
      <c r="G36" s="4"/>
      <c r="H36" s="15"/>
      <c r="I36" s="15"/>
      <c r="J36" s="4"/>
      <c r="K36" s="15"/>
      <c r="L36" s="15"/>
      <c r="M36" s="4"/>
      <c r="N36" s="15"/>
      <c r="O36" s="15"/>
      <c r="P36" s="4"/>
      <c r="Q36" s="15"/>
      <c r="R36" s="15"/>
      <c r="S36" s="4"/>
      <c r="T36" s="15"/>
      <c r="U36" s="15"/>
      <c r="V36" s="4"/>
      <c r="W36" s="15"/>
      <c r="X36" s="15"/>
      <c r="Y36" s="4"/>
      <c r="Z36" s="9"/>
      <c r="AA36" s="9"/>
      <c r="AB36" s="4"/>
      <c r="AC36" s="15">
        <v>510</v>
      </c>
      <c r="AD36" s="15"/>
      <c r="AE36" s="4"/>
      <c r="AF36" s="15"/>
      <c r="AG36" s="15"/>
      <c r="AH36" s="4"/>
      <c r="AI36" s="15"/>
      <c r="AJ36" s="15"/>
      <c r="AK36" s="4"/>
      <c r="AL36" s="15"/>
      <c r="AM36" s="15"/>
      <c r="AN36" s="4"/>
      <c r="AO36" s="4"/>
      <c r="AP36" s="9">
        <f t="shared" si="15"/>
        <v>510</v>
      </c>
      <c r="AQ36" s="9">
        <f t="shared" si="16"/>
        <v>0</v>
      </c>
      <c r="AR36" s="4"/>
      <c r="AS36" s="9">
        <v>500</v>
      </c>
      <c r="AT36" s="9">
        <v>0</v>
      </c>
      <c r="AU36" s="9">
        <f t="shared" si="2"/>
        <v>500</v>
      </c>
      <c r="AV36" s="43"/>
      <c r="AY36" s="46">
        <v>500</v>
      </c>
      <c r="AZ36" s="9">
        <v>0</v>
      </c>
      <c r="BA36" s="9">
        <f t="shared" si="17"/>
        <v>500</v>
      </c>
      <c r="BC36" s="46">
        <v>360</v>
      </c>
      <c r="BD36" s="9">
        <v>0</v>
      </c>
      <c r="BE36" s="9">
        <f t="shared" si="18"/>
        <v>360</v>
      </c>
    </row>
    <row r="37" spans="3:57" s="8" customFormat="1">
      <c r="C37" s="8" t="s">
        <v>18</v>
      </c>
      <c r="D37" s="4"/>
      <c r="E37" s="15"/>
      <c r="F37" s="15"/>
      <c r="G37" s="4"/>
      <c r="H37" s="15"/>
      <c r="I37" s="15"/>
      <c r="J37" s="4"/>
      <c r="K37" s="15"/>
      <c r="L37" s="15"/>
      <c r="M37" s="4"/>
      <c r="N37" s="15"/>
      <c r="O37" s="15"/>
      <c r="P37" s="4"/>
      <c r="Q37" s="15"/>
      <c r="R37" s="15"/>
      <c r="S37" s="4"/>
      <c r="T37" s="15"/>
      <c r="U37" s="15"/>
      <c r="V37" s="4"/>
      <c r="W37" s="15"/>
      <c r="X37" s="15"/>
      <c r="Y37" s="4"/>
      <c r="Z37" s="9"/>
      <c r="AA37" s="9"/>
      <c r="AB37" s="4"/>
      <c r="AC37" s="15">
        <v>480</v>
      </c>
      <c r="AD37" s="15"/>
      <c r="AE37" s="4"/>
      <c r="AF37" s="15"/>
      <c r="AG37" s="15"/>
      <c r="AH37" s="4"/>
      <c r="AI37" s="15"/>
      <c r="AJ37" s="15"/>
      <c r="AK37" s="4"/>
      <c r="AL37" s="15"/>
      <c r="AM37" s="15"/>
      <c r="AN37" s="4"/>
      <c r="AO37" s="4"/>
      <c r="AP37" s="9">
        <f t="shared" si="15"/>
        <v>480</v>
      </c>
      <c r="AQ37" s="9">
        <f t="shared" si="16"/>
        <v>0</v>
      </c>
      <c r="AR37" s="4"/>
      <c r="AS37" s="9">
        <v>800</v>
      </c>
      <c r="AT37" s="9">
        <v>0</v>
      </c>
      <c r="AU37" s="9">
        <f t="shared" si="2"/>
        <v>800</v>
      </c>
      <c r="AV37" s="43"/>
      <c r="AY37" s="46">
        <v>650</v>
      </c>
      <c r="AZ37" s="9">
        <v>0</v>
      </c>
      <c r="BA37" s="9">
        <f t="shared" si="17"/>
        <v>650</v>
      </c>
      <c r="BC37" s="46">
        <v>630</v>
      </c>
      <c r="BD37" s="9">
        <v>0</v>
      </c>
      <c r="BE37" s="9">
        <f t="shared" si="18"/>
        <v>630</v>
      </c>
    </row>
    <row r="38" spans="3:57" s="8" customFormat="1">
      <c r="C38" s="8" t="s">
        <v>19</v>
      </c>
      <c r="D38" s="4"/>
      <c r="E38" s="15"/>
      <c r="F38" s="15"/>
      <c r="G38" s="4"/>
      <c r="H38" s="15"/>
      <c r="I38" s="15"/>
      <c r="J38" s="4"/>
      <c r="K38" s="15"/>
      <c r="L38" s="15"/>
      <c r="M38" s="4"/>
      <c r="N38" s="15"/>
      <c r="O38" s="15"/>
      <c r="P38" s="4"/>
      <c r="Q38" s="15"/>
      <c r="R38" s="15"/>
      <c r="S38" s="4"/>
      <c r="T38" s="15"/>
      <c r="U38" s="15"/>
      <c r="V38" s="4"/>
      <c r="W38" s="15"/>
      <c r="X38" s="15"/>
      <c r="Y38" s="4"/>
      <c r="Z38" s="9">
        <v>400</v>
      </c>
      <c r="AA38" s="9"/>
      <c r="AB38" s="4"/>
      <c r="AC38" s="15"/>
      <c r="AD38" s="15"/>
      <c r="AE38" s="4"/>
      <c r="AF38" s="15">
        <v>55.49</v>
      </c>
      <c r="AG38" s="15"/>
      <c r="AH38" s="4"/>
      <c r="AI38" s="15">
        <v>181.98</v>
      </c>
      <c r="AJ38" s="15"/>
      <c r="AK38" s="4"/>
      <c r="AL38" s="15"/>
      <c r="AM38" s="15"/>
      <c r="AN38" s="4"/>
      <c r="AO38" s="4"/>
      <c r="AP38" s="9">
        <f t="shared" si="15"/>
        <v>637.47</v>
      </c>
      <c r="AQ38" s="9">
        <f t="shared" si="16"/>
        <v>0</v>
      </c>
      <c r="AR38" s="4"/>
      <c r="AS38" s="9">
        <v>550</v>
      </c>
      <c r="AT38" s="9">
        <v>0</v>
      </c>
      <c r="AU38" s="9">
        <f t="shared" si="2"/>
        <v>550</v>
      </c>
      <c r="AV38" s="43"/>
      <c r="AX38" s="8" t="s">
        <v>128</v>
      </c>
      <c r="AY38" s="46">
        <v>700</v>
      </c>
      <c r="AZ38" s="9">
        <v>0</v>
      </c>
      <c r="BA38" s="9">
        <f t="shared" si="17"/>
        <v>700</v>
      </c>
      <c r="BC38" s="46">
        <v>205</v>
      </c>
      <c r="BD38" s="9">
        <v>0</v>
      </c>
      <c r="BE38" s="9">
        <f t="shared" si="18"/>
        <v>205</v>
      </c>
    </row>
    <row r="39" spans="3:57" s="8" customFormat="1">
      <c r="C39" s="8" t="s">
        <v>37</v>
      </c>
      <c r="D39" s="4"/>
      <c r="E39" s="15"/>
      <c r="F39" s="15"/>
      <c r="G39" s="4"/>
      <c r="H39" s="15"/>
      <c r="I39" s="15"/>
      <c r="J39" s="4"/>
      <c r="K39" s="15"/>
      <c r="L39" s="15"/>
      <c r="M39" s="4"/>
      <c r="N39" s="15"/>
      <c r="O39" s="15"/>
      <c r="P39" s="4"/>
      <c r="Q39" s="15"/>
      <c r="R39" s="15"/>
      <c r="S39" s="4"/>
      <c r="T39" s="15"/>
      <c r="U39" s="15"/>
      <c r="V39" s="4"/>
      <c r="W39" s="15"/>
      <c r="X39" s="15"/>
      <c r="Y39" s="4"/>
      <c r="Z39" s="9"/>
      <c r="AA39" s="9"/>
      <c r="AB39" s="4"/>
      <c r="AC39" s="15"/>
      <c r="AD39" s="15"/>
      <c r="AE39" s="4"/>
      <c r="AF39" s="15"/>
      <c r="AG39" s="15"/>
      <c r="AH39" s="4"/>
      <c r="AI39" s="15"/>
      <c r="AJ39" s="15"/>
      <c r="AK39" s="4"/>
      <c r="AL39" s="15"/>
      <c r="AM39" s="15"/>
      <c r="AN39" s="4"/>
      <c r="AO39" s="4"/>
      <c r="AP39" s="9">
        <f t="shared" si="15"/>
        <v>0</v>
      </c>
      <c r="AQ39" s="9">
        <f t="shared" si="16"/>
        <v>0</v>
      </c>
      <c r="AR39" s="4"/>
      <c r="AS39" s="9">
        <v>0</v>
      </c>
      <c r="AT39" s="9">
        <v>0</v>
      </c>
      <c r="AU39" s="9">
        <f t="shared" si="2"/>
        <v>0</v>
      </c>
      <c r="AV39" s="43"/>
      <c r="AY39" s="52">
        <v>0</v>
      </c>
      <c r="AZ39" s="9">
        <v>0</v>
      </c>
      <c r="BA39" s="9">
        <f t="shared" si="17"/>
        <v>0</v>
      </c>
      <c r="BC39" s="52">
        <v>0</v>
      </c>
      <c r="BD39" s="9">
        <v>0</v>
      </c>
      <c r="BE39" s="9">
        <f t="shared" si="18"/>
        <v>0</v>
      </c>
    </row>
    <row r="40" spans="3:57" s="8" customFormat="1">
      <c r="C40" s="4" t="s">
        <v>35</v>
      </c>
      <c r="D40" s="4"/>
      <c r="E40" s="15"/>
      <c r="F40" s="15"/>
      <c r="G40" s="4"/>
      <c r="H40" s="15"/>
      <c r="I40" s="15"/>
      <c r="J40" s="4"/>
      <c r="K40" s="15"/>
      <c r="L40" s="15"/>
      <c r="M40" s="4"/>
      <c r="N40" s="15"/>
      <c r="O40" s="15"/>
      <c r="P40" s="4"/>
      <c r="Q40" s="15"/>
      <c r="R40" s="15"/>
      <c r="S40" s="4"/>
      <c r="T40" s="15"/>
      <c r="U40" s="15"/>
      <c r="V40" s="4"/>
      <c r="W40" s="15"/>
      <c r="X40" s="15"/>
      <c r="Y40" s="4"/>
      <c r="Z40" s="9"/>
      <c r="AA40" s="9"/>
      <c r="AB40" s="4"/>
      <c r="AC40" s="15"/>
      <c r="AD40" s="15"/>
      <c r="AE40" s="4"/>
      <c r="AF40" s="15"/>
      <c r="AG40" s="15"/>
      <c r="AH40" s="4"/>
      <c r="AI40" s="15"/>
      <c r="AJ40" s="15"/>
      <c r="AK40" s="4"/>
      <c r="AL40" s="15"/>
      <c r="AM40" s="15"/>
      <c r="AN40" s="4"/>
      <c r="AO40" s="4"/>
      <c r="AP40" s="9">
        <f t="shared" si="15"/>
        <v>0</v>
      </c>
      <c r="AQ40" s="9">
        <f t="shared" si="16"/>
        <v>0</v>
      </c>
      <c r="AR40" s="4"/>
      <c r="AS40" s="9">
        <v>100</v>
      </c>
      <c r="AT40" s="9">
        <v>0</v>
      </c>
      <c r="AU40" s="9">
        <f t="shared" si="2"/>
        <v>100</v>
      </c>
      <c r="AV40" s="43"/>
      <c r="AY40" s="52">
        <v>100</v>
      </c>
      <c r="AZ40" s="9">
        <v>0</v>
      </c>
      <c r="BA40" s="9">
        <f t="shared" si="17"/>
        <v>100</v>
      </c>
      <c r="BC40" s="52">
        <v>100</v>
      </c>
      <c r="BD40" s="9">
        <v>0</v>
      </c>
      <c r="BE40" s="9">
        <f t="shared" si="18"/>
        <v>100</v>
      </c>
    </row>
    <row r="41" spans="3:57" s="8" customFormat="1">
      <c r="C41" s="4" t="s">
        <v>21</v>
      </c>
      <c r="D41" s="4"/>
      <c r="E41" s="15"/>
      <c r="F41" s="15"/>
      <c r="G41" s="4"/>
      <c r="H41" s="15"/>
      <c r="I41" s="15"/>
      <c r="J41" s="4"/>
      <c r="K41" s="15"/>
      <c r="L41" s="15"/>
      <c r="M41" s="4"/>
      <c r="N41" s="15"/>
      <c r="O41" s="15"/>
      <c r="P41" s="4"/>
      <c r="Q41" s="15"/>
      <c r="R41" s="15"/>
      <c r="S41" s="4"/>
      <c r="T41" s="15"/>
      <c r="U41" s="15"/>
      <c r="V41" s="4"/>
      <c r="W41" s="15"/>
      <c r="X41" s="15"/>
      <c r="Y41" s="4"/>
      <c r="Z41" s="9"/>
      <c r="AA41" s="9"/>
      <c r="AB41" s="4"/>
      <c r="AC41" s="15"/>
      <c r="AD41" s="15"/>
      <c r="AE41" s="4"/>
      <c r="AF41" s="15"/>
      <c r="AG41" s="15"/>
      <c r="AH41" s="4"/>
      <c r="AI41" s="15"/>
      <c r="AJ41" s="15"/>
      <c r="AK41" s="4"/>
      <c r="AL41" s="15"/>
      <c r="AM41" s="15"/>
      <c r="AN41" s="4"/>
      <c r="AO41" s="4"/>
      <c r="AP41" s="9">
        <f t="shared" si="15"/>
        <v>0</v>
      </c>
      <c r="AQ41" s="9">
        <f t="shared" si="16"/>
        <v>0</v>
      </c>
      <c r="AR41" s="4"/>
      <c r="AS41" s="9">
        <v>0</v>
      </c>
      <c r="AT41" s="9">
        <v>0</v>
      </c>
      <c r="AU41" s="9">
        <f t="shared" si="2"/>
        <v>0</v>
      </c>
      <c r="AV41" s="43"/>
      <c r="AY41" s="52">
        <v>0</v>
      </c>
      <c r="AZ41" s="9">
        <v>0</v>
      </c>
      <c r="BA41" s="9">
        <f t="shared" si="17"/>
        <v>0</v>
      </c>
      <c r="BC41" s="52">
        <v>0</v>
      </c>
      <c r="BD41" s="9">
        <v>0</v>
      </c>
      <c r="BE41" s="9">
        <f t="shared" si="18"/>
        <v>0</v>
      </c>
    </row>
    <row r="42" spans="3:57" s="8" customFormat="1">
      <c r="C42" s="4" t="s">
        <v>45</v>
      </c>
      <c r="D42" s="4"/>
      <c r="E42" s="15"/>
      <c r="F42" s="15"/>
      <c r="G42" s="4"/>
      <c r="H42" s="15"/>
      <c r="I42" s="15"/>
      <c r="J42" s="4"/>
      <c r="K42" s="15">
        <f>544.84+75</f>
        <v>619.84</v>
      </c>
      <c r="L42" s="15"/>
      <c r="M42" s="4"/>
      <c r="N42" s="15"/>
      <c r="O42" s="15"/>
      <c r="P42" s="4"/>
      <c r="Q42" s="15"/>
      <c r="R42" s="15"/>
      <c r="S42" s="4"/>
      <c r="T42" s="15"/>
      <c r="U42" s="15"/>
      <c r="V42" s="4"/>
      <c r="W42" s="15"/>
      <c r="X42" s="15"/>
      <c r="Y42" s="4"/>
      <c r="Z42" s="9">
        <v>778.75</v>
      </c>
      <c r="AA42" s="9"/>
      <c r="AB42" s="4"/>
      <c r="AC42" s="15">
        <v>76.84</v>
      </c>
      <c r="AD42" s="15"/>
      <c r="AE42" s="4"/>
      <c r="AF42" s="15">
        <v>515</v>
      </c>
      <c r="AG42" s="15"/>
      <c r="AH42" s="4"/>
      <c r="AI42" s="15">
        <v>2402.7800000000002</v>
      </c>
      <c r="AJ42" s="15"/>
      <c r="AK42" s="4"/>
      <c r="AL42" s="15">
        <v>925.25</v>
      </c>
      <c r="AM42" s="15"/>
      <c r="AN42" s="4"/>
      <c r="AO42" s="4"/>
      <c r="AP42" s="9">
        <f t="shared" si="15"/>
        <v>5318.46</v>
      </c>
      <c r="AQ42" s="9">
        <f t="shared" si="16"/>
        <v>0</v>
      </c>
      <c r="AR42" s="4"/>
      <c r="AS42" s="9">
        <v>2000</v>
      </c>
      <c r="AT42" s="9">
        <v>0</v>
      </c>
      <c r="AU42" s="9">
        <f t="shared" si="2"/>
        <v>2000</v>
      </c>
      <c r="AV42" s="43" t="s">
        <v>121</v>
      </c>
      <c r="AY42" s="48">
        <v>4820</v>
      </c>
      <c r="AZ42" s="9">
        <v>0</v>
      </c>
      <c r="BA42" s="9">
        <f t="shared" si="17"/>
        <v>4820</v>
      </c>
      <c r="BC42" s="48">
        <v>3101</v>
      </c>
      <c r="BD42" s="9">
        <v>0</v>
      </c>
      <c r="BE42" s="9">
        <f t="shared" si="18"/>
        <v>3101</v>
      </c>
    </row>
    <row r="43" spans="3:57" s="8" customFormat="1">
      <c r="C43" s="4" t="s">
        <v>130</v>
      </c>
      <c r="D43" s="4"/>
      <c r="E43" s="15"/>
      <c r="F43" s="15"/>
      <c r="G43" s="4"/>
      <c r="H43" s="15"/>
      <c r="I43" s="15"/>
      <c r="J43" s="4"/>
      <c r="K43" s="15"/>
      <c r="L43" s="15"/>
      <c r="M43" s="4"/>
      <c r="N43" s="15"/>
      <c r="O43" s="15"/>
      <c r="P43" s="4"/>
      <c r="Q43" s="15"/>
      <c r="R43" s="15"/>
      <c r="S43" s="4"/>
      <c r="T43" s="15"/>
      <c r="U43" s="15"/>
      <c r="V43" s="4"/>
      <c r="W43" s="15"/>
      <c r="X43" s="15"/>
      <c r="Y43" s="4"/>
      <c r="Z43" s="9"/>
      <c r="AA43" s="9"/>
      <c r="AB43" s="4"/>
      <c r="AC43" s="15"/>
      <c r="AD43" s="15"/>
      <c r="AE43" s="4"/>
      <c r="AF43" s="15"/>
      <c r="AG43" s="15"/>
      <c r="AH43" s="4"/>
      <c r="AI43" s="15"/>
      <c r="AJ43" s="15"/>
      <c r="AK43" s="4"/>
      <c r="AL43" s="15"/>
      <c r="AM43" s="15"/>
      <c r="AN43" s="4"/>
      <c r="AO43" s="4"/>
      <c r="AP43" s="9">
        <f t="shared" si="15"/>
        <v>0</v>
      </c>
      <c r="AQ43" s="9">
        <f t="shared" si="16"/>
        <v>0</v>
      </c>
      <c r="AR43" s="4"/>
      <c r="AS43" s="9">
        <v>0</v>
      </c>
      <c r="AT43" s="9">
        <v>0</v>
      </c>
      <c r="AU43" s="9">
        <f t="shared" si="2"/>
        <v>0</v>
      </c>
      <c r="AV43" s="43"/>
      <c r="AY43" s="52">
        <v>600</v>
      </c>
      <c r="AZ43" s="9">
        <v>0</v>
      </c>
      <c r="BA43" s="9">
        <f t="shared" si="17"/>
        <v>600</v>
      </c>
      <c r="BB43" s="8" t="s">
        <v>153</v>
      </c>
      <c r="BC43" s="52">
        <v>700</v>
      </c>
      <c r="BD43" s="9">
        <v>0</v>
      </c>
      <c r="BE43" s="9">
        <f t="shared" si="18"/>
        <v>700</v>
      </c>
    </row>
    <row r="44" spans="3:57" s="8" customFormat="1">
      <c r="C44" s="4" t="s">
        <v>87</v>
      </c>
      <c r="D44" s="4"/>
      <c r="E44" s="15"/>
      <c r="F44" s="15"/>
      <c r="G44" s="4"/>
      <c r="H44" s="15"/>
      <c r="I44" s="15"/>
      <c r="J44" s="4"/>
      <c r="K44" s="15"/>
      <c r="L44" s="15"/>
      <c r="M44" s="4"/>
      <c r="N44" s="15"/>
      <c r="O44" s="15"/>
      <c r="P44" s="4"/>
      <c r="Q44" s="15"/>
      <c r="R44" s="15"/>
      <c r="S44" s="4"/>
      <c r="T44" s="15"/>
      <c r="U44" s="15"/>
      <c r="V44" s="4"/>
      <c r="W44" s="15"/>
      <c r="X44" s="15"/>
      <c r="Y44" s="4"/>
      <c r="Z44" s="9"/>
      <c r="AA44" s="9"/>
      <c r="AB44" s="4"/>
      <c r="AC44" s="15"/>
      <c r="AD44" s="15"/>
      <c r="AE44" s="4"/>
      <c r="AF44" s="15"/>
      <c r="AG44" s="15"/>
      <c r="AH44" s="4"/>
      <c r="AI44" s="15"/>
      <c r="AJ44" s="15"/>
      <c r="AK44" s="4"/>
      <c r="AL44" s="15"/>
      <c r="AM44" s="15"/>
      <c r="AN44" s="4"/>
      <c r="AO44" s="4"/>
      <c r="AP44" s="9">
        <f t="shared" si="15"/>
        <v>0</v>
      </c>
      <c r="AQ44" s="9">
        <f t="shared" si="16"/>
        <v>0</v>
      </c>
      <c r="AR44" s="4"/>
      <c r="AS44" s="9">
        <v>200</v>
      </c>
      <c r="AT44" s="9">
        <v>0</v>
      </c>
      <c r="AU44" s="9">
        <f t="shared" si="2"/>
        <v>200</v>
      </c>
      <c r="AV44" s="43"/>
      <c r="AY44" s="52">
        <v>200</v>
      </c>
      <c r="AZ44" s="9">
        <v>0</v>
      </c>
      <c r="BA44" s="9">
        <f t="shared" si="17"/>
        <v>200</v>
      </c>
      <c r="BB44" s="8" t="s">
        <v>150</v>
      </c>
      <c r="BC44" s="52">
        <v>100</v>
      </c>
      <c r="BD44" s="9">
        <v>0</v>
      </c>
      <c r="BE44" s="9">
        <f t="shared" si="18"/>
        <v>100</v>
      </c>
    </row>
    <row r="45" spans="3:57" s="8" customFormat="1" ht="56">
      <c r="C45" s="4" t="s">
        <v>28</v>
      </c>
      <c r="D45" s="4"/>
      <c r="E45" s="15"/>
      <c r="F45" s="15"/>
      <c r="G45" s="4"/>
      <c r="H45" s="15"/>
      <c r="I45" s="15"/>
      <c r="J45" s="4"/>
      <c r="K45" s="15"/>
      <c r="L45" s="15"/>
      <c r="M45" s="4"/>
      <c r="N45" s="15"/>
      <c r="O45" s="15"/>
      <c r="P45" s="4"/>
      <c r="Q45" s="15"/>
      <c r="R45" s="15"/>
      <c r="S45" s="4"/>
      <c r="T45" s="15"/>
      <c r="U45" s="15"/>
      <c r="V45" s="4"/>
      <c r="W45" s="15"/>
      <c r="X45" s="15"/>
      <c r="Y45" s="4"/>
      <c r="Z45" s="9">
        <v>175</v>
      </c>
      <c r="AA45" s="9"/>
      <c r="AB45" s="4"/>
      <c r="AC45" s="15"/>
      <c r="AD45" s="15"/>
      <c r="AE45" s="4"/>
      <c r="AF45" s="15">
        <v>1750</v>
      </c>
      <c r="AG45" s="15"/>
      <c r="AH45" s="4"/>
      <c r="AI45" s="15">
        <v>3190</v>
      </c>
      <c r="AJ45" s="15"/>
      <c r="AK45" s="4"/>
      <c r="AL45" s="15"/>
      <c r="AM45" s="15"/>
      <c r="AN45" s="4"/>
      <c r="AO45" s="4"/>
      <c r="AP45" s="9">
        <f t="shared" si="15"/>
        <v>5115</v>
      </c>
      <c r="AQ45" s="9">
        <f t="shared" si="16"/>
        <v>0</v>
      </c>
      <c r="AR45" s="4"/>
      <c r="AS45" s="9">
        <v>150</v>
      </c>
      <c r="AT45" s="9">
        <v>0</v>
      </c>
      <c r="AU45" s="9">
        <f t="shared" si="2"/>
        <v>150</v>
      </c>
      <c r="AV45" s="43" t="s">
        <v>123</v>
      </c>
      <c r="AX45" s="8" t="s">
        <v>145</v>
      </c>
      <c r="AY45" s="52">
        <v>150</v>
      </c>
      <c r="AZ45" s="9">
        <v>0</v>
      </c>
      <c r="BA45" s="9">
        <f t="shared" si="17"/>
        <v>150</v>
      </c>
      <c r="BC45" s="52">
        <v>150</v>
      </c>
      <c r="BD45" s="9">
        <v>0</v>
      </c>
      <c r="BE45" s="9">
        <f t="shared" si="18"/>
        <v>150</v>
      </c>
    </row>
    <row r="46" spans="3:57" s="8" customFormat="1">
      <c r="C46" s="4" t="s">
        <v>20</v>
      </c>
      <c r="D46" s="4"/>
      <c r="E46" s="15"/>
      <c r="F46" s="15"/>
      <c r="G46" s="4"/>
      <c r="H46" s="15"/>
      <c r="I46" s="15"/>
      <c r="J46" s="4"/>
      <c r="K46" s="15"/>
      <c r="L46" s="15"/>
      <c r="M46" s="4"/>
      <c r="N46" s="15"/>
      <c r="O46" s="15"/>
      <c r="P46" s="4"/>
      <c r="Q46" s="15"/>
      <c r="R46" s="15"/>
      <c r="S46" s="4"/>
      <c r="T46" s="15"/>
      <c r="U46" s="15"/>
      <c r="V46" s="4"/>
      <c r="W46" s="15"/>
      <c r="X46" s="15"/>
      <c r="Y46" s="4"/>
      <c r="Z46" s="9">
        <v>40.46</v>
      </c>
      <c r="AA46" s="9"/>
      <c r="AB46" s="4"/>
      <c r="AC46" s="15">
        <v>100</v>
      </c>
      <c r="AD46" s="15"/>
      <c r="AE46" s="4"/>
      <c r="AF46" s="15"/>
      <c r="AG46" s="15"/>
      <c r="AH46" s="4"/>
      <c r="AI46" s="15">
        <v>24.39</v>
      </c>
      <c r="AJ46" s="15"/>
      <c r="AK46" s="4"/>
      <c r="AL46" s="15"/>
      <c r="AM46" s="15"/>
      <c r="AN46" s="4"/>
      <c r="AO46" s="4"/>
      <c r="AP46" s="9">
        <f t="shared" si="15"/>
        <v>164.85000000000002</v>
      </c>
      <c r="AQ46" s="9">
        <f t="shared" si="16"/>
        <v>0</v>
      </c>
      <c r="AR46" s="4"/>
      <c r="AS46" s="9">
        <v>150</v>
      </c>
      <c r="AT46" s="9">
        <v>0</v>
      </c>
      <c r="AU46" s="9">
        <f t="shared" si="2"/>
        <v>150</v>
      </c>
      <c r="AV46" s="43"/>
      <c r="AY46" s="52">
        <v>200</v>
      </c>
      <c r="AZ46" s="9">
        <v>0</v>
      </c>
      <c r="BA46" s="9">
        <f t="shared" si="17"/>
        <v>200</v>
      </c>
      <c r="BC46" s="52">
        <v>200</v>
      </c>
      <c r="BD46" s="9">
        <v>0</v>
      </c>
      <c r="BE46" s="9">
        <f t="shared" si="18"/>
        <v>200</v>
      </c>
    </row>
    <row r="47" spans="3:57" s="8" customFormat="1">
      <c r="C47" s="4" t="s">
        <v>104</v>
      </c>
      <c r="D47" s="4"/>
      <c r="E47" s="15"/>
      <c r="F47" s="15"/>
      <c r="G47" s="4"/>
      <c r="H47" s="15"/>
      <c r="I47" s="15"/>
      <c r="J47" s="4"/>
      <c r="K47" s="15"/>
      <c r="L47" s="15"/>
      <c r="M47" s="4"/>
      <c r="N47" s="15">
        <v>1077</v>
      </c>
      <c r="O47" s="15"/>
      <c r="P47" s="4"/>
      <c r="Q47" s="15"/>
      <c r="R47" s="15"/>
      <c r="S47" s="4"/>
      <c r="T47" s="15"/>
      <c r="U47" s="15"/>
      <c r="V47" s="4"/>
      <c r="W47" s="15"/>
      <c r="X47" s="15"/>
      <c r="Y47" s="4"/>
      <c r="Z47" s="9"/>
      <c r="AA47" s="9"/>
      <c r="AB47" s="4"/>
      <c r="AC47" s="15"/>
      <c r="AD47" s="15"/>
      <c r="AE47" s="4"/>
      <c r="AF47" s="15"/>
      <c r="AG47" s="15"/>
      <c r="AH47" s="4"/>
      <c r="AI47" s="15"/>
      <c r="AJ47" s="15"/>
      <c r="AK47" s="4"/>
      <c r="AL47" s="15"/>
      <c r="AM47" s="15"/>
      <c r="AN47" s="4"/>
      <c r="AO47" s="4"/>
      <c r="AP47" s="9">
        <f t="shared" si="15"/>
        <v>1077</v>
      </c>
      <c r="AQ47" s="9">
        <f t="shared" si="16"/>
        <v>0</v>
      </c>
      <c r="AR47" s="4"/>
      <c r="AS47" s="9">
        <v>1200</v>
      </c>
      <c r="AT47" s="9">
        <v>0</v>
      </c>
      <c r="AU47" s="9">
        <f t="shared" si="2"/>
        <v>1200</v>
      </c>
      <c r="AV47" s="43"/>
      <c r="AY47" s="50">
        <v>1100</v>
      </c>
      <c r="AZ47" s="9">
        <v>0</v>
      </c>
      <c r="BA47" s="9">
        <f t="shared" si="17"/>
        <v>1100</v>
      </c>
      <c r="BC47" s="50">
        <v>1100</v>
      </c>
      <c r="BD47" s="9">
        <v>0</v>
      </c>
      <c r="BE47" s="9">
        <f t="shared" si="18"/>
        <v>1100</v>
      </c>
    </row>
    <row r="48" spans="3:57" s="8" customFormat="1">
      <c r="C48" s="4" t="s">
        <v>105</v>
      </c>
      <c r="D48" s="4"/>
      <c r="E48" s="15"/>
      <c r="F48" s="15"/>
      <c r="G48" s="4"/>
      <c r="H48" s="15"/>
      <c r="I48" s="15"/>
      <c r="J48" s="4"/>
      <c r="K48" s="15"/>
      <c r="L48" s="15"/>
      <c r="M48" s="4"/>
      <c r="N48" s="15"/>
      <c r="O48" s="15"/>
      <c r="P48" s="4"/>
      <c r="Q48" s="15"/>
      <c r="R48" s="15"/>
      <c r="S48" s="4"/>
      <c r="T48" s="15"/>
      <c r="U48" s="15"/>
      <c r="V48" s="4"/>
      <c r="W48" s="15"/>
      <c r="X48" s="15"/>
      <c r="Y48" s="4"/>
      <c r="Z48" s="9"/>
      <c r="AA48" s="9"/>
      <c r="AB48" s="4"/>
      <c r="AC48" s="15">
        <v>10</v>
      </c>
      <c r="AD48" s="15"/>
      <c r="AE48" s="4"/>
      <c r="AF48" s="15">
        <v>144.5</v>
      </c>
      <c r="AG48" s="15"/>
      <c r="AH48" s="4"/>
      <c r="AI48" s="15"/>
      <c r="AJ48" s="15"/>
      <c r="AK48" s="4"/>
      <c r="AL48" s="15"/>
      <c r="AM48" s="15"/>
      <c r="AN48" s="4"/>
      <c r="AO48" s="4"/>
      <c r="AP48" s="9">
        <f t="shared" ref="AP48" si="21">+E48+H48+K48+N48+Q48+T48+W48+Z48+AC48+AF48+AI48+AL48</f>
        <v>154.5</v>
      </c>
      <c r="AQ48" s="9">
        <f t="shared" ref="AQ48" si="22">+F48+I48+L48+O48+R48+U48+X48+AA48+AD48+AG48+AJ48+AM48</f>
        <v>0</v>
      </c>
      <c r="AR48" s="4"/>
      <c r="AS48" s="9">
        <v>150</v>
      </c>
      <c r="AT48" s="9">
        <v>0</v>
      </c>
      <c r="AU48" s="9">
        <f t="shared" ref="AU48" si="23">SUM(AS48:AT48)</f>
        <v>150</v>
      </c>
      <c r="AV48" s="29"/>
      <c r="AY48" s="52">
        <v>200</v>
      </c>
      <c r="AZ48" s="9">
        <v>0</v>
      </c>
      <c r="BA48" s="9">
        <f t="shared" ref="BA48" si="24">SUM(AY48:AZ48)</f>
        <v>200</v>
      </c>
      <c r="BB48" s="8" t="s">
        <v>151</v>
      </c>
      <c r="BC48" s="52">
        <v>450</v>
      </c>
      <c r="BD48" s="9">
        <v>0</v>
      </c>
      <c r="BE48" s="9">
        <f t="shared" ref="BE48:BE57" si="25">SUM(BC48:BD48)</f>
        <v>450</v>
      </c>
    </row>
    <row r="49" spans="1:57" s="8" customFormat="1">
      <c r="C49" s="4" t="s">
        <v>22</v>
      </c>
      <c r="D49" s="4"/>
      <c r="E49" s="15"/>
      <c r="F49" s="15"/>
      <c r="G49" s="4"/>
      <c r="H49" s="15"/>
      <c r="I49" s="15"/>
      <c r="J49" s="4"/>
      <c r="K49" s="15"/>
      <c r="L49" s="15"/>
      <c r="M49" s="4"/>
      <c r="N49" s="15">
        <v>200</v>
      </c>
      <c r="O49" s="15"/>
      <c r="P49" s="4"/>
      <c r="Q49" s="15">
        <v>200</v>
      </c>
      <c r="R49" s="15"/>
      <c r="S49" s="4"/>
      <c r="T49" s="15"/>
      <c r="U49" s="15"/>
      <c r="V49" s="4"/>
      <c r="W49" s="15"/>
      <c r="X49" s="15"/>
      <c r="Y49" s="4"/>
      <c r="Z49" s="9"/>
      <c r="AA49" s="9"/>
      <c r="AB49" s="4"/>
      <c r="AC49" s="15"/>
      <c r="AD49" s="15"/>
      <c r="AE49" s="4"/>
      <c r="AF49" s="15"/>
      <c r="AG49" s="15"/>
      <c r="AH49" s="4"/>
      <c r="AI49" s="15">
        <v>120</v>
      </c>
      <c r="AJ49" s="15"/>
      <c r="AK49" s="4"/>
      <c r="AL49" s="15"/>
      <c r="AM49" s="15"/>
      <c r="AN49" s="4"/>
      <c r="AO49" s="4"/>
      <c r="AP49" s="9">
        <f t="shared" si="15"/>
        <v>520</v>
      </c>
      <c r="AQ49" s="9">
        <f t="shared" si="16"/>
        <v>0</v>
      </c>
      <c r="AR49" s="4"/>
      <c r="AS49" s="9">
        <v>900</v>
      </c>
      <c r="AT49" s="9">
        <v>0</v>
      </c>
      <c r="AU49" s="9">
        <f t="shared" si="2"/>
        <v>900</v>
      </c>
      <c r="AV49" s="43"/>
      <c r="AY49" s="52">
        <v>600</v>
      </c>
      <c r="AZ49" s="9">
        <v>0</v>
      </c>
      <c r="BA49" s="9">
        <f t="shared" ref="BA49:BA57" si="26">SUM(AY49:AZ49)</f>
        <v>600</v>
      </c>
      <c r="BC49" s="52">
        <v>600</v>
      </c>
      <c r="BD49" s="9">
        <v>0</v>
      </c>
      <c r="BE49" s="9">
        <f t="shared" si="25"/>
        <v>600</v>
      </c>
    </row>
    <row r="50" spans="1:57" s="8" customFormat="1">
      <c r="C50" s="4" t="s">
        <v>146</v>
      </c>
      <c r="D50" s="4"/>
      <c r="E50" s="15"/>
      <c r="F50" s="15"/>
      <c r="G50" s="4"/>
      <c r="H50" s="15"/>
      <c r="I50" s="15"/>
      <c r="J50" s="4"/>
      <c r="K50" s="15"/>
      <c r="L50" s="15"/>
      <c r="M50" s="4"/>
      <c r="N50" s="15">
        <v>1077</v>
      </c>
      <c r="O50" s="15"/>
      <c r="P50" s="4"/>
      <c r="Q50" s="15"/>
      <c r="R50" s="15"/>
      <c r="S50" s="4"/>
      <c r="T50" s="15"/>
      <c r="U50" s="15"/>
      <c r="V50" s="4"/>
      <c r="W50" s="15"/>
      <c r="X50" s="15"/>
      <c r="Y50" s="4"/>
      <c r="Z50" s="9"/>
      <c r="AA50" s="9"/>
      <c r="AB50" s="4"/>
      <c r="AC50" s="15"/>
      <c r="AD50" s="15"/>
      <c r="AE50" s="4"/>
      <c r="AF50" s="15"/>
      <c r="AG50" s="15"/>
      <c r="AH50" s="4"/>
      <c r="AI50" s="15"/>
      <c r="AJ50" s="15"/>
      <c r="AK50" s="4"/>
      <c r="AL50" s="15"/>
      <c r="AM50" s="15"/>
      <c r="AN50" s="4"/>
      <c r="AO50" s="4"/>
      <c r="AP50" s="9">
        <v>0</v>
      </c>
      <c r="AQ50" s="9">
        <f t="shared" ref="AQ50" si="27">+F50+I50+L50+O50+R50+U50+X50+AA50+AD50+AG50+AJ50+AM50</f>
        <v>0</v>
      </c>
      <c r="AR50" s="4"/>
      <c r="AS50" s="9">
        <v>1200</v>
      </c>
      <c r="AT50" s="9">
        <v>0</v>
      </c>
      <c r="AU50" s="9">
        <f t="shared" ref="AU50" si="28">SUM(AS50:AT50)</f>
        <v>1200</v>
      </c>
      <c r="AV50" s="43"/>
      <c r="AY50" s="52">
        <v>0</v>
      </c>
      <c r="AZ50" s="9">
        <v>0</v>
      </c>
      <c r="BA50" s="9">
        <f t="shared" si="26"/>
        <v>0</v>
      </c>
      <c r="BC50" s="52">
        <v>150</v>
      </c>
      <c r="BD50" s="9">
        <v>0</v>
      </c>
      <c r="BE50" s="9">
        <f t="shared" si="25"/>
        <v>150</v>
      </c>
    </row>
    <row r="51" spans="1:57" s="8" customFormat="1">
      <c r="C51" s="4" t="s">
        <v>41</v>
      </c>
      <c r="D51" s="4"/>
      <c r="E51" s="15"/>
      <c r="F51" s="15"/>
      <c r="G51" s="4"/>
      <c r="H51" s="15"/>
      <c r="I51" s="15"/>
      <c r="J51" s="4"/>
      <c r="K51" s="15">
        <v>500</v>
      </c>
      <c r="L51" s="15"/>
      <c r="M51" s="4"/>
      <c r="N51" s="15">
        <v>515.9</v>
      </c>
      <c r="O51" s="15"/>
      <c r="P51" s="4"/>
      <c r="Q51" s="15">
        <v>500</v>
      </c>
      <c r="R51" s="15"/>
      <c r="S51" s="4"/>
      <c r="T51" s="15"/>
      <c r="U51" s="15"/>
      <c r="V51" s="4"/>
      <c r="W51" s="15"/>
      <c r="X51" s="15"/>
      <c r="Y51" s="4"/>
      <c r="Z51" s="9">
        <v>46</v>
      </c>
      <c r="AA51" s="9"/>
      <c r="AB51" s="4"/>
      <c r="AC51" s="15"/>
      <c r="AD51" s="15"/>
      <c r="AE51" s="4"/>
      <c r="AF51" s="15">
        <v>500</v>
      </c>
      <c r="AG51" s="15"/>
      <c r="AH51" s="4"/>
      <c r="AI51" s="15"/>
      <c r="AJ51" s="15"/>
      <c r="AK51" s="4"/>
      <c r="AL51" s="15"/>
      <c r="AM51" s="15"/>
      <c r="AN51" s="4"/>
      <c r="AO51" s="4"/>
      <c r="AP51" s="9">
        <f t="shared" si="15"/>
        <v>2061.9</v>
      </c>
      <c r="AQ51" s="9">
        <f t="shared" si="16"/>
        <v>0</v>
      </c>
      <c r="AR51" s="4"/>
      <c r="AS51" s="9">
        <v>2300</v>
      </c>
      <c r="AT51" s="9">
        <v>0</v>
      </c>
      <c r="AU51" s="9">
        <f t="shared" si="2"/>
        <v>2300</v>
      </c>
      <c r="AV51" s="43"/>
      <c r="AY51" s="47">
        <v>1600</v>
      </c>
      <c r="AZ51" s="9">
        <v>0</v>
      </c>
      <c r="BA51" s="9">
        <f t="shared" si="26"/>
        <v>1600</v>
      </c>
      <c r="BB51" s="8" t="s">
        <v>149</v>
      </c>
      <c r="BC51" s="47">
        <v>1800</v>
      </c>
      <c r="BD51" s="9">
        <v>0</v>
      </c>
      <c r="BE51" s="9">
        <f t="shared" si="25"/>
        <v>1800</v>
      </c>
    </row>
    <row r="52" spans="1:57" s="8" customFormat="1" ht="28">
      <c r="C52" s="4" t="s">
        <v>38</v>
      </c>
      <c r="D52" s="4"/>
      <c r="E52" s="15"/>
      <c r="F52" s="15"/>
      <c r="G52" s="4"/>
      <c r="H52" s="15"/>
      <c r="I52" s="15"/>
      <c r="J52" s="4"/>
      <c r="K52" s="15"/>
      <c r="L52" s="15"/>
      <c r="M52" s="4"/>
      <c r="N52" s="15"/>
      <c r="O52" s="15"/>
      <c r="P52" s="4"/>
      <c r="Q52" s="15"/>
      <c r="R52" s="15"/>
      <c r="S52" s="4"/>
      <c r="T52" s="15"/>
      <c r="U52" s="15"/>
      <c r="V52" s="4"/>
      <c r="W52" s="15"/>
      <c r="X52" s="15"/>
      <c r="Y52" s="4"/>
      <c r="Z52" s="9"/>
      <c r="AA52" s="9"/>
      <c r="AB52" s="4"/>
      <c r="AC52" s="15"/>
      <c r="AD52" s="15"/>
      <c r="AE52" s="4"/>
      <c r="AF52" s="15">
        <v>750</v>
      </c>
      <c r="AG52" s="15"/>
      <c r="AH52" s="4"/>
      <c r="AI52" s="15">
        <v>2.42</v>
      </c>
      <c r="AJ52" s="15"/>
      <c r="AK52" s="4"/>
      <c r="AL52" s="15"/>
      <c r="AM52" s="15"/>
      <c r="AN52" s="4"/>
      <c r="AO52" s="4"/>
      <c r="AP52" s="9">
        <f t="shared" si="15"/>
        <v>752.42</v>
      </c>
      <c r="AQ52" s="9">
        <f t="shared" si="16"/>
        <v>0</v>
      </c>
      <c r="AR52" s="4"/>
      <c r="AS52" s="9">
        <v>0</v>
      </c>
      <c r="AT52" s="9">
        <v>0</v>
      </c>
      <c r="AU52" s="9">
        <f t="shared" si="2"/>
        <v>0</v>
      </c>
      <c r="AV52" s="45" t="s">
        <v>131</v>
      </c>
      <c r="AY52" s="52">
        <v>0</v>
      </c>
      <c r="AZ52" s="9">
        <v>0</v>
      </c>
      <c r="BA52" s="9">
        <f t="shared" si="26"/>
        <v>0</v>
      </c>
      <c r="BC52" s="52">
        <v>0</v>
      </c>
      <c r="BD52" s="9">
        <v>0</v>
      </c>
      <c r="BE52" s="9">
        <f t="shared" si="25"/>
        <v>0</v>
      </c>
    </row>
    <row r="53" spans="1:57" s="8" customFormat="1">
      <c r="C53" s="4" t="s">
        <v>23</v>
      </c>
      <c r="D53" s="4"/>
      <c r="E53" s="15"/>
      <c r="F53" s="15"/>
      <c r="G53" s="4"/>
      <c r="H53" s="15"/>
      <c r="I53" s="15"/>
      <c r="J53" s="4"/>
      <c r="K53" s="15"/>
      <c r="L53" s="15"/>
      <c r="M53" s="4"/>
      <c r="N53" s="15"/>
      <c r="O53" s="15"/>
      <c r="P53" s="4"/>
      <c r="Q53" s="15"/>
      <c r="R53" s="15"/>
      <c r="S53" s="4"/>
      <c r="T53" s="15"/>
      <c r="U53" s="15"/>
      <c r="V53" s="4"/>
      <c r="W53" s="15"/>
      <c r="X53" s="15"/>
      <c r="Y53" s="4"/>
      <c r="Z53" s="9"/>
      <c r="AA53" s="9"/>
      <c r="AB53" s="4"/>
      <c r="AC53" s="15"/>
      <c r="AD53" s="15"/>
      <c r="AE53" s="4"/>
      <c r="AF53" s="15"/>
      <c r="AG53" s="15"/>
      <c r="AH53" s="4"/>
      <c r="AI53" s="15"/>
      <c r="AJ53" s="15"/>
      <c r="AK53" s="4"/>
      <c r="AL53" s="15"/>
      <c r="AM53" s="15"/>
      <c r="AN53" s="4"/>
      <c r="AO53" s="4"/>
      <c r="AP53" s="9">
        <f t="shared" si="15"/>
        <v>0</v>
      </c>
      <c r="AQ53" s="9">
        <f t="shared" si="16"/>
        <v>0</v>
      </c>
      <c r="AR53" s="4"/>
      <c r="AS53" s="9">
        <v>200</v>
      </c>
      <c r="AT53" s="9">
        <v>0</v>
      </c>
      <c r="AU53" s="9">
        <f t="shared" si="2"/>
        <v>200</v>
      </c>
      <c r="AV53" s="43"/>
      <c r="AY53" s="52">
        <v>100</v>
      </c>
      <c r="AZ53" s="9">
        <v>0</v>
      </c>
      <c r="BA53" s="9">
        <f t="shared" si="26"/>
        <v>100</v>
      </c>
      <c r="BC53" s="52">
        <v>100</v>
      </c>
      <c r="BD53" s="9">
        <v>0</v>
      </c>
      <c r="BE53" s="9">
        <f t="shared" si="25"/>
        <v>100</v>
      </c>
    </row>
    <row r="54" spans="1:57" s="8" customFormat="1">
      <c r="C54" s="4" t="s">
        <v>24</v>
      </c>
      <c r="D54" s="4"/>
      <c r="E54" s="15"/>
      <c r="F54" s="15"/>
      <c r="G54" s="4"/>
      <c r="H54" s="15"/>
      <c r="I54" s="15"/>
      <c r="J54" s="4"/>
      <c r="K54" s="15"/>
      <c r="L54" s="15"/>
      <c r="M54" s="4"/>
      <c r="N54" s="15"/>
      <c r="O54" s="15"/>
      <c r="P54" s="4"/>
      <c r="Q54" s="15">
        <v>100</v>
      </c>
      <c r="R54" s="15"/>
      <c r="S54" s="4"/>
      <c r="T54" s="15"/>
      <c r="U54" s="15"/>
      <c r="V54" s="4"/>
      <c r="W54" s="15"/>
      <c r="X54" s="15"/>
      <c r="Y54" s="4"/>
      <c r="Z54" s="9">
        <v>39.78</v>
      </c>
      <c r="AA54" s="9"/>
      <c r="AB54" s="4"/>
      <c r="AC54" s="15"/>
      <c r="AD54" s="15"/>
      <c r="AE54" s="4"/>
      <c r="AF54" s="15">
        <v>225</v>
      </c>
      <c r="AG54" s="15"/>
      <c r="AH54" s="4"/>
      <c r="AI54" s="15">
        <v>15.95</v>
      </c>
      <c r="AJ54" s="15"/>
      <c r="AK54" s="4"/>
      <c r="AL54" s="15"/>
      <c r="AM54" s="15"/>
      <c r="AN54" s="4"/>
      <c r="AO54" s="4"/>
      <c r="AP54" s="9">
        <f t="shared" si="15"/>
        <v>380.72999999999996</v>
      </c>
      <c r="AQ54" s="9">
        <f t="shared" si="16"/>
        <v>0</v>
      </c>
      <c r="AR54" s="4"/>
      <c r="AS54" s="9">
        <v>300</v>
      </c>
      <c r="AT54" s="9">
        <v>0</v>
      </c>
      <c r="AU54" s="9">
        <f t="shared" si="2"/>
        <v>300</v>
      </c>
      <c r="AV54" s="43"/>
      <c r="AY54" s="49">
        <v>400</v>
      </c>
      <c r="AZ54" s="9">
        <v>0</v>
      </c>
      <c r="BA54" s="9">
        <f t="shared" si="26"/>
        <v>400</v>
      </c>
      <c r="BC54" s="49">
        <v>450</v>
      </c>
      <c r="BD54" s="9">
        <v>0</v>
      </c>
      <c r="BE54" s="9">
        <f t="shared" si="25"/>
        <v>450</v>
      </c>
    </row>
    <row r="55" spans="1:57" s="8" customFormat="1">
      <c r="C55" s="4" t="s">
        <v>29</v>
      </c>
      <c r="D55" s="4"/>
      <c r="E55" s="15"/>
      <c r="F55" s="15"/>
      <c r="G55" s="4"/>
      <c r="H55" s="15"/>
      <c r="I55" s="15"/>
      <c r="J55" s="4"/>
      <c r="K55" s="15"/>
      <c r="L55" s="15"/>
      <c r="M55" s="4"/>
      <c r="N55" s="15"/>
      <c r="O55" s="15"/>
      <c r="P55" s="4"/>
      <c r="Q55" s="15"/>
      <c r="R55" s="15"/>
      <c r="S55" s="4"/>
      <c r="T55" s="15"/>
      <c r="U55" s="15"/>
      <c r="V55" s="4"/>
      <c r="W55" s="15"/>
      <c r="X55" s="15"/>
      <c r="Y55" s="4"/>
      <c r="Z55" s="9"/>
      <c r="AA55" s="9"/>
      <c r="AB55" s="4"/>
      <c r="AC55" s="15"/>
      <c r="AD55" s="15"/>
      <c r="AE55" s="4"/>
      <c r="AF55" s="15"/>
      <c r="AG55" s="15"/>
      <c r="AH55" s="4"/>
      <c r="AI55" s="15"/>
      <c r="AJ55" s="15"/>
      <c r="AK55" s="4"/>
      <c r="AL55" s="15"/>
      <c r="AM55" s="15"/>
      <c r="AN55" s="4"/>
      <c r="AO55" s="4"/>
      <c r="AP55" s="9">
        <f t="shared" si="15"/>
        <v>0</v>
      </c>
      <c r="AQ55" s="9">
        <f t="shared" si="16"/>
        <v>0</v>
      </c>
      <c r="AR55" s="4"/>
      <c r="AS55" s="9">
        <v>0</v>
      </c>
      <c r="AT55" s="9">
        <v>0</v>
      </c>
      <c r="AU55" s="9">
        <f t="shared" si="2"/>
        <v>0</v>
      </c>
      <c r="AV55" s="43"/>
      <c r="AY55" s="52">
        <v>200</v>
      </c>
      <c r="AZ55" s="9">
        <v>0</v>
      </c>
      <c r="BA55" s="9">
        <f t="shared" si="26"/>
        <v>200</v>
      </c>
      <c r="BB55" s="8" t="s">
        <v>152</v>
      </c>
      <c r="BC55" s="52">
        <v>400</v>
      </c>
      <c r="BD55" s="9">
        <v>0</v>
      </c>
      <c r="BE55" s="9">
        <f t="shared" si="25"/>
        <v>400</v>
      </c>
    </row>
    <row r="56" spans="1:57" s="8" customFormat="1">
      <c r="C56" s="4" t="s">
        <v>25</v>
      </c>
      <c r="D56" s="4"/>
      <c r="E56" s="15"/>
      <c r="F56" s="15"/>
      <c r="G56" s="4"/>
      <c r="H56" s="15"/>
      <c r="I56" s="15"/>
      <c r="J56" s="4"/>
      <c r="K56" s="15"/>
      <c r="L56" s="15"/>
      <c r="M56" s="4"/>
      <c r="N56" s="15"/>
      <c r="O56" s="15"/>
      <c r="P56" s="4"/>
      <c r="Q56" s="15"/>
      <c r="R56" s="15"/>
      <c r="S56" s="4"/>
      <c r="T56" s="15"/>
      <c r="U56" s="15"/>
      <c r="V56" s="4"/>
      <c r="W56" s="15"/>
      <c r="X56" s="15"/>
      <c r="Y56" s="4"/>
      <c r="Z56" s="9"/>
      <c r="AA56" s="9"/>
      <c r="AB56" s="4"/>
      <c r="AC56" s="15"/>
      <c r="AD56" s="15"/>
      <c r="AE56" s="4"/>
      <c r="AF56" s="15"/>
      <c r="AG56" s="15"/>
      <c r="AH56" s="4"/>
      <c r="AI56" s="15"/>
      <c r="AJ56" s="15"/>
      <c r="AK56" s="4"/>
      <c r="AL56" s="15"/>
      <c r="AM56" s="15"/>
      <c r="AN56" s="4"/>
      <c r="AO56" s="4"/>
      <c r="AP56" s="9">
        <f t="shared" si="15"/>
        <v>0</v>
      </c>
      <c r="AQ56" s="9">
        <f t="shared" si="16"/>
        <v>0</v>
      </c>
      <c r="AR56" s="4"/>
      <c r="AS56" s="9">
        <v>0</v>
      </c>
      <c r="AT56" s="9">
        <v>0</v>
      </c>
      <c r="AU56" s="9">
        <f t="shared" si="2"/>
        <v>0</v>
      </c>
      <c r="AV56" s="43"/>
      <c r="AY56" s="52">
        <v>0</v>
      </c>
      <c r="AZ56" s="9">
        <v>0</v>
      </c>
      <c r="BA56" s="9">
        <f t="shared" si="26"/>
        <v>0</v>
      </c>
      <c r="BC56" s="52">
        <v>0</v>
      </c>
      <c r="BD56" s="9">
        <v>0</v>
      </c>
      <c r="BE56" s="9">
        <f t="shared" si="25"/>
        <v>0</v>
      </c>
    </row>
    <row r="57" spans="1:57" s="8" customFormat="1">
      <c r="C57" s="4" t="s">
        <v>132</v>
      </c>
      <c r="D57" s="4"/>
      <c r="E57" s="15"/>
      <c r="F57" s="15"/>
      <c r="G57" s="4"/>
      <c r="H57" s="15"/>
      <c r="I57" s="15"/>
      <c r="J57" s="4"/>
      <c r="K57" s="15"/>
      <c r="L57" s="15"/>
      <c r="M57" s="4"/>
      <c r="N57" s="15"/>
      <c r="O57" s="15"/>
      <c r="P57" s="4"/>
      <c r="Q57" s="15"/>
      <c r="R57" s="15"/>
      <c r="S57" s="4"/>
      <c r="T57" s="15"/>
      <c r="U57" s="15"/>
      <c r="V57" s="4"/>
      <c r="W57" s="15"/>
      <c r="X57" s="15"/>
      <c r="Y57" s="4"/>
      <c r="Z57" s="15"/>
      <c r="AA57" s="15"/>
      <c r="AB57" s="4"/>
      <c r="AC57" s="15"/>
      <c r="AD57" s="15"/>
      <c r="AE57" s="4"/>
      <c r="AF57" s="15"/>
      <c r="AG57" s="15"/>
      <c r="AH57" s="4"/>
      <c r="AI57" s="15"/>
      <c r="AJ57" s="15"/>
      <c r="AK57" s="4"/>
      <c r="AL57" s="15"/>
      <c r="AM57" s="15"/>
      <c r="AN57" s="4"/>
      <c r="AO57" s="4"/>
      <c r="AP57" s="9">
        <f t="shared" si="15"/>
        <v>0</v>
      </c>
      <c r="AQ57" s="9">
        <f t="shared" si="16"/>
        <v>0</v>
      </c>
      <c r="AR57" s="4"/>
      <c r="AS57" s="9">
        <v>300</v>
      </c>
      <c r="AT57" s="9">
        <v>0</v>
      </c>
      <c r="AU57" s="9">
        <f t="shared" si="2"/>
        <v>300</v>
      </c>
      <c r="AV57" s="43"/>
      <c r="AX57" s="8" t="s">
        <v>140</v>
      </c>
      <c r="AY57" s="52">
        <v>200</v>
      </c>
      <c r="AZ57" s="9">
        <v>0</v>
      </c>
      <c r="BA57" s="9">
        <f t="shared" si="26"/>
        <v>200</v>
      </c>
      <c r="BC57" s="52">
        <v>0</v>
      </c>
      <c r="BD57" s="9">
        <v>0</v>
      </c>
      <c r="BE57" s="9">
        <f t="shared" si="25"/>
        <v>0</v>
      </c>
    </row>
    <row r="58" spans="1:57" s="11" customFormat="1">
      <c r="C58" s="12"/>
      <c r="D58" s="12"/>
      <c r="E58" s="11">
        <f>SUM(E30:E57)</f>
        <v>0</v>
      </c>
      <c r="F58" s="11">
        <f>SUM(F30:F57)</f>
        <v>0</v>
      </c>
      <c r="H58" s="11">
        <f>SUM(H30:H57)</f>
        <v>0</v>
      </c>
      <c r="I58" s="11">
        <f>SUM(I30:I57)</f>
        <v>0</v>
      </c>
      <c r="K58" s="11">
        <f>SUM(K30:K57)</f>
        <v>1237.0700000000002</v>
      </c>
      <c r="L58" s="11">
        <f>SUM(L30:L57)</f>
        <v>0</v>
      </c>
      <c r="N58" s="11">
        <f t="shared" ref="N58:X58" si="29">SUM(N30:N57)</f>
        <v>2869.9</v>
      </c>
      <c r="O58" s="11">
        <f t="shared" si="29"/>
        <v>0</v>
      </c>
      <c r="P58" s="11">
        <f t="shared" si="29"/>
        <v>0</v>
      </c>
      <c r="Q58" s="11">
        <f t="shared" si="29"/>
        <v>800</v>
      </c>
      <c r="R58" s="11">
        <f t="shared" si="29"/>
        <v>0</v>
      </c>
      <c r="S58" s="11">
        <f t="shared" si="29"/>
        <v>0</v>
      </c>
      <c r="T58" s="11">
        <f t="shared" si="29"/>
        <v>0</v>
      </c>
      <c r="U58" s="11">
        <f t="shared" si="29"/>
        <v>0</v>
      </c>
      <c r="V58" s="11">
        <f t="shared" si="29"/>
        <v>0</v>
      </c>
      <c r="W58" s="11">
        <f t="shared" si="29"/>
        <v>0</v>
      </c>
      <c r="X58" s="11">
        <f t="shared" si="29"/>
        <v>0</v>
      </c>
      <c r="Z58" s="11">
        <f>SUM(Z30:Z57)</f>
        <v>1842.89</v>
      </c>
      <c r="AA58" s="11">
        <f>SUM(AA30:AA57)</f>
        <v>0</v>
      </c>
      <c r="AC58" s="11">
        <f>SUM(AC30:AC57)</f>
        <v>1176.8399999999999</v>
      </c>
      <c r="AD58" s="11">
        <f>SUM(AD30:AD57)</f>
        <v>0</v>
      </c>
      <c r="AF58" s="11">
        <f>SUM(AF30:AF57)</f>
        <v>4064.99</v>
      </c>
      <c r="AG58" s="11">
        <f>SUM(AG30:AG57)</f>
        <v>0</v>
      </c>
      <c r="AI58" s="11">
        <f>SUM(AI30:AI57)</f>
        <v>6153.06</v>
      </c>
      <c r="AJ58" s="11">
        <f>SUM(AJ30:AJ57)</f>
        <v>5000</v>
      </c>
      <c r="AL58" s="11">
        <f>SUM(AL30:AL57)</f>
        <v>925.25</v>
      </c>
      <c r="AM58" s="11">
        <f>SUM(AM30:AM57)</f>
        <v>0</v>
      </c>
      <c r="AP58" s="11">
        <f>SUM(AP30:AP57)</f>
        <v>17993</v>
      </c>
      <c r="AQ58" s="11">
        <f>SUM(AQ30:AQ57)</f>
        <v>5000</v>
      </c>
      <c r="AR58" s="12"/>
      <c r="AS58" s="11">
        <f>SUM(AS30:AS57)</f>
        <v>12080</v>
      </c>
      <c r="AT58" s="11">
        <f>SUM(AT30:AT57)</f>
        <v>7000</v>
      </c>
      <c r="AU58" s="11">
        <f>SUM(AU30:AU57)</f>
        <v>19080</v>
      </c>
      <c r="AY58" s="11">
        <f>SUM(AY30:AY57)</f>
        <v>13180</v>
      </c>
      <c r="AZ58" s="11">
        <f>SUM(AZ30:AZ57)</f>
        <v>6000</v>
      </c>
      <c r="BA58" s="11">
        <f>SUM(BA30:BA57)</f>
        <v>19180</v>
      </c>
      <c r="BC58" s="11">
        <f>SUM(BC30:BC57)</f>
        <v>11531</v>
      </c>
      <c r="BD58" s="11">
        <f>SUM(BD30:BD57)</f>
        <v>6000</v>
      </c>
      <c r="BE58" s="11">
        <f>SUM(BE30:BE57)</f>
        <v>17531</v>
      </c>
    </row>
    <row r="59" spans="1:57" s="8" customFormat="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8"/>
      <c r="X59" s="18"/>
      <c r="Y59" s="4"/>
      <c r="Z59" s="17"/>
      <c r="AA59" s="17"/>
      <c r="AB59" s="17"/>
      <c r="AC59" s="17"/>
      <c r="AD59" s="17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8"/>
      <c r="AQ59" s="18"/>
      <c r="AR59" s="17"/>
      <c r="AS59" s="18"/>
      <c r="AT59" s="18"/>
      <c r="AU59" s="18"/>
      <c r="AY59" s="18"/>
      <c r="AZ59" s="18"/>
      <c r="BA59" s="18"/>
      <c r="BC59" s="18"/>
      <c r="BD59" s="18"/>
      <c r="BE59" s="18"/>
    </row>
    <row r="60" spans="1:57" s="11" customFormat="1">
      <c r="B60" s="11" t="s">
        <v>43</v>
      </c>
      <c r="D60" s="12"/>
      <c r="E60" s="12">
        <f>E28-E58</f>
        <v>0.25</v>
      </c>
      <c r="F60" s="12">
        <f>F28-F58</f>
        <v>0</v>
      </c>
      <c r="G60" s="12"/>
      <c r="H60" s="12">
        <f>H28-H58</f>
        <v>220.26</v>
      </c>
      <c r="I60" s="12">
        <f>I28-I58</f>
        <v>1293.6199999999997</v>
      </c>
      <c r="J60" s="12"/>
      <c r="K60" s="12">
        <f>K28-K58</f>
        <v>-1071.8100000000002</v>
      </c>
      <c r="L60" s="12" t="e">
        <f>L28-L58</f>
        <v>#REF!</v>
      </c>
      <c r="M60" s="12"/>
      <c r="N60" s="12">
        <f t="shared" ref="N60:AM60" si="30">N28-N58</f>
        <v>-2599.65</v>
      </c>
      <c r="O60" s="12">
        <f t="shared" si="30"/>
        <v>3552.7400000000016</v>
      </c>
      <c r="P60" s="12">
        <f t="shared" si="30"/>
        <v>0</v>
      </c>
      <c r="Q60" s="12">
        <f t="shared" si="30"/>
        <v>-659.75</v>
      </c>
      <c r="R60" s="12">
        <f t="shared" si="30"/>
        <v>2423.67</v>
      </c>
      <c r="S60" s="12">
        <f t="shared" si="30"/>
        <v>0</v>
      </c>
      <c r="T60" s="12">
        <f t="shared" si="30"/>
        <v>0</v>
      </c>
      <c r="U60" s="12">
        <f t="shared" si="30"/>
        <v>0</v>
      </c>
      <c r="V60" s="12">
        <f t="shared" si="30"/>
        <v>0</v>
      </c>
      <c r="W60" s="12">
        <f t="shared" si="30"/>
        <v>0</v>
      </c>
      <c r="X60" s="12">
        <f t="shared" si="30"/>
        <v>0</v>
      </c>
      <c r="Y60" s="12">
        <f t="shared" si="30"/>
        <v>0</v>
      </c>
      <c r="Z60" s="12">
        <f t="shared" si="30"/>
        <v>-877.2</v>
      </c>
      <c r="AA60" s="12" t="e">
        <f t="shared" si="30"/>
        <v>#REF!</v>
      </c>
      <c r="AB60" s="12">
        <f t="shared" si="30"/>
        <v>0</v>
      </c>
      <c r="AC60" s="12">
        <f t="shared" si="30"/>
        <v>-921.63999999999987</v>
      </c>
      <c r="AD60" s="12" t="e">
        <f t="shared" si="30"/>
        <v>#REF!</v>
      </c>
      <c r="AE60" s="12">
        <f t="shared" si="30"/>
        <v>0</v>
      </c>
      <c r="AF60" s="12">
        <f t="shared" si="30"/>
        <v>109.23000000000047</v>
      </c>
      <c r="AG60" s="12">
        <f t="shared" si="30"/>
        <v>2571.4199999999837</v>
      </c>
      <c r="AH60" s="12">
        <f t="shared" si="30"/>
        <v>0</v>
      </c>
      <c r="AI60" s="12">
        <f t="shared" si="30"/>
        <v>-322.83000000000084</v>
      </c>
      <c r="AJ60" s="12" t="e">
        <f t="shared" si="30"/>
        <v>#REF!</v>
      </c>
      <c r="AK60" s="12">
        <f t="shared" si="30"/>
        <v>0</v>
      </c>
      <c r="AL60" s="12">
        <f t="shared" si="30"/>
        <v>-365.01</v>
      </c>
      <c r="AM60" s="12" t="e">
        <f t="shared" si="30"/>
        <v>#REF!</v>
      </c>
      <c r="AN60" s="12"/>
      <c r="AO60" s="12"/>
      <c r="AP60" s="11">
        <f>AP28-AP58</f>
        <v>-5411.15</v>
      </c>
      <c r="AQ60" s="11" t="e">
        <f>AQ28-AQ58</f>
        <v>#REF!</v>
      </c>
      <c r="AR60" s="12"/>
      <c r="AS60" s="11">
        <f>AS28-AS58</f>
        <v>-510</v>
      </c>
      <c r="AT60" s="11">
        <f>AT28-AT58</f>
        <v>-2000</v>
      </c>
      <c r="AU60" s="11">
        <f>AU28-AU58</f>
        <v>-2501</v>
      </c>
      <c r="AX60" s="11" t="s">
        <v>134</v>
      </c>
      <c r="AY60" s="11">
        <f>AY28-AY58</f>
        <v>-1225</v>
      </c>
      <c r="AZ60" s="11">
        <f>AZ28-AZ58</f>
        <v>-800</v>
      </c>
      <c r="BA60" s="11">
        <f>BA28-BA58</f>
        <v>-2025</v>
      </c>
      <c r="BB60" s="11" t="s">
        <v>134</v>
      </c>
      <c r="BC60" s="11">
        <f>BC28-BC58</f>
        <v>-6</v>
      </c>
      <c r="BD60" s="11">
        <f>BD28-BD58</f>
        <v>-1000</v>
      </c>
      <c r="BE60" s="11">
        <f>BE28-BE58</f>
        <v>-1006</v>
      </c>
    </row>
    <row r="61" spans="1:57" ht="10" customHeight="1">
      <c r="AZ61" s="11"/>
      <c r="BD61" s="11"/>
    </row>
    <row r="62" spans="1:57" s="5" customFormat="1">
      <c r="A62" s="5" t="s">
        <v>39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R62" s="6"/>
    </row>
    <row r="63" spans="1:57" s="5" customFormat="1">
      <c r="B63" s="5" t="s">
        <v>0</v>
      </c>
      <c r="D63" s="6"/>
      <c r="E63" s="6" t="e">
        <f>#REF!+E60-E15-E22</f>
        <v>#REF!</v>
      </c>
      <c r="F63" s="6"/>
      <c r="G63" s="6"/>
      <c r="H63" s="6" t="e">
        <f>#REF!+H60-H15-H22</f>
        <v>#REF!</v>
      </c>
      <c r="I63" s="6"/>
      <c r="J63" s="6"/>
      <c r="K63" s="6" t="e">
        <f>#REF!+K60-K15-K22</f>
        <v>#REF!</v>
      </c>
      <c r="L63" s="6"/>
      <c r="M63" s="6"/>
      <c r="N63" s="6" t="e">
        <f>#REF!+N60-N15-N22</f>
        <v>#REF!</v>
      </c>
      <c r="O63" s="6"/>
      <c r="P63" s="6"/>
      <c r="Q63" s="6" t="e">
        <f>#REF!+#REF!+Q60-Q15+Q57</f>
        <v>#REF!</v>
      </c>
      <c r="R63" s="6"/>
      <c r="S63" s="6"/>
      <c r="T63" s="6" t="e">
        <f>#REF!+#REF!+T60-T15+T57</f>
        <v>#REF!</v>
      </c>
      <c r="U63" s="6"/>
      <c r="V63" s="6"/>
      <c r="W63" s="6" t="e">
        <f>#REF!+#REF!+W60-W15+W57</f>
        <v>#REF!</v>
      </c>
      <c r="X63" s="6"/>
      <c r="Y63" s="6"/>
      <c r="Z63" s="6" t="e">
        <f>#REF!+#REF!+Z60-Z15+Z57</f>
        <v>#REF!</v>
      </c>
      <c r="AA63" s="6"/>
      <c r="AB63" s="6"/>
      <c r="AC63" s="6" t="e">
        <f>#REF!+#REF!+AC60-AC15+AC57</f>
        <v>#REF!</v>
      </c>
      <c r="AD63" s="6"/>
      <c r="AE63" s="6"/>
      <c r="AF63" s="6" t="e">
        <f>#REF!+#REF!+AF60-AF15+AF57</f>
        <v>#REF!</v>
      </c>
      <c r="AG63" s="6"/>
      <c r="AH63" s="6"/>
      <c r="AI63" s="6" t="e">
        <f>#REF!+#REF!+AI60-AI15+AI57</f>
        <v>#REF!</v>
      </c>
      <c r="AJ63" s="6"/>
      <c r="AK63" s="6"/>
      <c r="AL63" s="6" t="e">
        <f>#REF!+#REF!+AL60-AL15+AL57</f>
        <v>#REF!</v>
      </c>
      <c r="AM63" s="6"/>
      <c r="AN63" s="6"/>
      <c r="AO63" s="6"/>
      <c r="AR63" s="6"/>
    </row>
    <row r="64" spans="1:57" s="5" customFormat="1">
      <c r="B64" s="5" t="s">
        <v>1</v>
      </c>
      <c r="D64" s="6"/>
      <c r="E64" s="6" t="e">
        <f>+#REF!+E22</f>
        <v>#REF!</v>
      </c>
      <c r="F64" s="6"/>
      <c r="G64" s="6"/>
      <c r="H64" s="6" t="e">
        <f>+#REF!+H22</f>
        <v>#REF!</v>
      </c>
      <c r="I64" s="6"/>
      <c r="J64" s="6"/>
      <c r="K64" s="6" t="e">
        <f>+#REF!+K22</f>
        <v>#REF!</v>
      </c>
      <c r="L64" s="6"/>
      <c r="M64" s="6"/>
      <c r="N64" s="6" t="e">
        <f>+#REF!+N22</f>
        <v>#REF!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R64" s="6"/>
    </row>
    <row r="65" spans="2:62" s="5" customFormat="1">
      <c r="B65" s="5" t="s">
        <v>2</v>
      </c>
      <c r="D65" s="6"/>
      <c r="E65" s="6" t="e">
        <f>+#REF!+E27</f>
        <v>#REF!</v>
      </c>
      <c r="F65" s="6"/>
      <c r="G65" s="6"/>
      <c r="H65" s="6" t="e">
        <f>+#REF!+H27</f>
        <v>#REF!</v>
      </c>
      <c r="I65" s="6"/>
      <c r="J65" s="6"/>
      <c r="K65" s="6" t="e">
        <f>+#REF!+K27</f>
        <v>#REF!</v>
      </c>
      <c r="L65" s="6"/>
      <c r="M65" s="6"/>
      <c r="N65" s="6" t="e">
        <f>+#REF!+N27</f>
        <v>#REF!</v>
      </c>
      <c r="O65" s="6"/>
      <c r="P65" s="6"/>
      <c r="Q65" s="6" t="e">
        <f>+#REF!+Q27-Q57</f>
        <v>#REF!</v>
      </c>
      <c r="R65" s="6"/>
      <c r="S65" s="6"/>
      <c r="T65" s="6" t="e">
        <f>+#REF!+T27-T57</f>
        <v>#REF!</v>
      </c>
      <c r="U65" s="6"/>
      <c r="V65" s="6"/>
      <c r="W65" s="6" t="e">
        <f>+#REF!+W27-W57</f>
        <v>#REF!</v>
      </c>
      <c r="X65" s="6"/>
      <c r="Y65" s="6"/>
      <c r="Z65" s="6" t="e">
        <f>+#REF!+Z27-Z57</f>
        <v>#REF!</v>
      </c>
      <c r="AA65" s="6"/>
      <c r="AB65" s="6"/>
      <c r="AC65" s="6" t="e">
        <f>+#REF!+AC27-AC57</f>
        <v>#REF!</v>
      </c>
      <c r="AD65" s="6"/>
      <c r="AE65" s="6"/>
      <c r="AF65" s="6" t="e">
        <f>+#REF!+AF15-AF57</f>
        <v>#REF!</v>
      </c>
      <c r="AG65" s="6"/>
      <c r="AH65" s="6"/>
      <c r="AI65" s="6" t="e">
        <f>+#REF!+AI15-AI57</f>
        <v>#REF!</v>
      </c>
      <c r="AJ65" s="6"/>
      <c r="AK65" s="6"/>
      <c r="AL65" s="6" t="e">
        <f>+#REF!+AL15-AL57</f>
        <v>#REF!</v>
      </c>
      <c r="AM65" s="6"/>
      <c r="AN65" s="6"/>
      <c r="AO65" s="6"/>
      <c r="AR65" s="6"/>
    </row>
    <row r="66" spans="2:62" s="5" customFormat="1">
      <c r="B66" s="5" t="s">
        <v>3</v>
      </c>
      <c r="D66" s="6"/>
      <c r="E66" s="6"/>
      <c r="F66" s="6" t="e">
        <f>+#REF!+F60-F25</f>
        <v>#REF!</v>
      </c>
      <c r="G66" s="6"/>
      <c r="H66" s="6"/>
      <c r="I66" s="6" t="e">
        <f>+#REF!+I60-I25</f>
        <v>#REF!</v>
      </c>
      <c r="J66" s="6"/>
      <c r="K66" s="6"/>
      <c r="L66" s="6" t="e">
        <f>+#REF!+L60-L25</f>
        <v>#REF!</v>
      </c>
      <c r="M66" s="6"/>
      <c r="N66" s="6"/>
      <c r="O66" s="6" t="e">
        <f>+#REF!+O60-O25</f>
        <v>#REF!</v>
      </c>
      <c r="P66" s="6"/>
      <c r="Q66" s="6"/>
      <c r="R66" s="6" t="e">
        <f>+#REF!+R60-R25</f>
        <v>#REF!</v>
      </c>
      <c r="S66" s="6"/>
      <c r="T66" s="6"/>
      <c r="U66" s="6" t="e">
        <f>+#REF!+U60-U25</f>
        <v>#REF!</v>
      </c>
      <c r="V66" s="6"/>
      <c r="W66" s="6"/>
      <c r="X66" s="6" t="e">
        <f>+#REF!+X60-X25</f>
        <v>#REF!</v>
      </c>
      <c r="Y66" s="6"/>
      <c r="Z66" s="6"/>
      <c r="AA66" s="6" t="e">
        <f>+#REF!+AA60-AA25</f>
        <v>#REF!</v>
      </c>
      <c r="AB66" s="6"/>
      <c r="AC66" s="6"/>
      <c r="AD66" s="6" t="e">
        <f>+#REF!+AD60-AD25</f>
        <v>#REF!</v>
      </c>
      <c r="AE66" s="6"/>
      <c r="AF66" s="6"/>
      <c r="AG66" s="6" t="e">
        <f>+#REF!+AG60-AG25</f>
        <v>#REF!</v>
      </c>
      <c r="AH66" s="6"/>
      <c r="AI66" s="6"/>
      <c r="AJ66" s="6" t="e">
        <f>+#REF!+AJ60-AJ25</f>
        <v>#REF!</v>
      </c>
      <c r="AK66" s="6"/>
      <c r="AL66" s="6"/>
      <c r="AM66" s="6" t="e">
        <f>+#REF!+AM60-AM25</f>
        <v>#REF!</v>
      </c>
      <c r="AN66" s="6"/>
      <c r="AO66" s="6"/>
      <c r="AR66" s="6"/>
    </row>
    <row r="67" spans="2:62" s="5" customFormat="1">
      <c r="B67" s="5" t="s">
        <v>4</v>
      </c>
      <c r="D67" s="6"/>
      <c r="E67" s="6"/>
      <c r="F67" s="6" t="e">
        <f>#REF!+F25</f>
        <v>#REF!</v>
      </c>
      <c r="G67" s="6"/>
      <c r="H67" s="6"/>
      <c r="I67" s="6" t="e">
        <f>#REF!+I25</f>
        <v>#REF!</v>
      </c>
      <c r="J67" s="6"/>
      <c r="K67" s="6"/>
      <c r="L67" s="6" t="e">
        <f>#REF!+L25</f>
        <v>#REF!</v>
      </c>
      <c r="M67" s="6"/>
      <c r="N67" s="6"/>
      <c r="O67" s="6" t="e">
        <f>#REF!+O25</f>
        <v>#REF!</v>
      </c>
      <c r="P67" s="6"/>
      <c r="Q67" s="6"/>
      <c r="R67" s="6" t="e">
        <f>#REF!+R25</f>
        <v>#REF!</v>
      </c>
      <c r="S67" s="6"/>
      <c r="T67" s="6"/>
      <c r="U67" s="6" t="e">
        <f>#REF!+U25</f>
        <v>#REF!</v>
      </c>
      <c r="V67" s="6"/>
      <c r="W67" s="6"/>
      <c r="X67" s="6" t="e">
        <f>#REF!+X25</f>
        <v>#REF!</v>
      </c>
      <c r="Y67" s="6"/>
      <c r="Z67" s="6"/>
      <c r="AA67" s="6" t="e">
        <f>#REF!+AA25</f>
        <v>#REF!</v>
      </c>
      <c r="AB67" s="6"/>
      <c r="AC67" s="6"/>
      <c r="AD67" s="6" t="e">
        <f>#REF!+AD25</f>
        <v>#REF!</v>
      </c>
      <c r="AE67" s="6"/>
      <c r="AF67" s="6"/>
      <c r="AG67" s="6" t="e">
        <f>#REF!+AG25</f>
        <v>#REF!</v>
      </c>
      <c r="AH67" s="6"/>
      <c r="AI67" s="6"/>
      <c r="AJ67" s="6" t="e">
        <f>#REF!+AJ25</f>
        <v>#REF!</v>
      </c>
      <c r="AK67" s="6"/>
      <c r="AL67" s="6"/>
      <c r="AM67" s="6" t="e">
        <f>#REF!+AM25</f>
        <v>#REF!</v>
      </c>
      <c r="AN67" s="6"/>
      <c r="AO67" s="6"/>
      <c r="AR67" s="6"/>
    </row>
    <row r="68" spans="2:62" s="13" customFormat="1">
      <c r="C68" s="14" t="s">
        <v>40</v>
      </c>
      <c r="D68" s="7"/>
      <c r="E68" s="7" t="e">
        <f>+E63+E64+E65+E66+E67</f>
        <v>#REF!</v>
      </c>
      <c r="F68" s="7" t="e">
        <f>+F63+F64+F65+F66+F67</f>
        <v>#REF!</v>
      </c>
      <c r="G68" s="7"/>
      <c r="H68" s="7" t="e">
        <f>+H63+H64+H65+H66+H67</f>
        <v>#REF!</v>
      </c>
      <c r="I68" s="7" t="e">
        <f>+I63+I64+I65+I66+I67</f>
        <v>#REF!</v>
      </c>
      <c r="J68" s="7"/>
      <c r="K68" s="7" t="e">
        <f>+K63+K64+K65+K66+K67</f>
        <v>#REF!</v>
      </c>
      <c r="L68" s="7" t="e">
        <f>+L63+L64+L65+L66+L67</f>
        <v>#REF!</v>
      </c>
      <c r="M68" s="7"/>
      <c r="N68" s="7" t="e">
        <f>+N63+N64+N65+N66+N67</f>
        <v>#REF!</v>
      </c>
      <c r="O68" s="7" t="e">
        <f>+O63+O64+O65+O66+O67</f>
        <v>#REF!</v>
      </c>
      <c r="P68" s="7"/>
      <c r="Q68" s="7" t="e">
        <f>+Q63+Q64+Q65+Q66+Q67</f>
        <v>#REF!</v>
      </c>
      <c r="R68" s="7" t="e">
        <f>+R63+R64+R65+R66+R67</f>
        <v>#REF!</v>
      </c>
      <c r="S68" s="7"/>
      <c r="T68" s="7" t="e">
        <f>+T63+T64+T65+T66+T67</f>
        <v>#REF!</v>
      </c>
      <c r="U68" s="7" t="e">
        <f>+U63+U64+U65+U66+U67</f>
        <v>#REF!</v>
      </c>
      <c r="V68" s="7"/>
      <c r="W68" s="7" t="e">
        <f>+W63+W64+W65+W66+W67</f>
        <v>#REF!</v>
      </c>
      <c r="X68" s="7" t="e">
        <f>+X63+X64+X65+X66+X67</f>
        <v>#REF!</v>
      </c>
      <c r="Y68" s="7"/>
      <c r="Z68" s="7" t="e">
        <f>+Z63+Z64+Z65+Z66+Z67</f>
        <v>#REF!</v>
      </c>
      <c r="AA68" s="7" t="e">
        <f>+AA63+AA64+AA65+AA66+AA67</f>
        <v>#REF!</v>
      </c>
      <c r="AB68" s="7"/>
      <c r="AC68" s="7" t="e">
        <f>+AC63+AC64+AC65+AC66+AC67</f>
        <v>#REF!</v>
      </c>
      <c r="AD68" s="7" t="e">
        <f>+AD63+AD64+AD65+AD66+AD67</f>
        <v>#REF!</v>
      </c>
      <c r="AE68" s="7"/>
      <c r="AF68" s="7" t="e">
        <f>+AF63+AF64+AF65+AF66+AF67</f>
        <v>#REF!</v>
      </c>
      <c r="AG68" s="7" t="e">
        <f>+AG63+AG64+AG65+AG66+AG67</f>
        <v>#REF!</v>
      </c>
      <c r="AH68" s="7"/>
      <c r="AI68" s="7" t="e">
        <f>+AI63+AI64+AI65+AI66+AI67</f>
        <v>#REF!</v>
      </c>
      <c r="AJ68" s="7" t="e">
        <f>+AJ63+AJ64+AJ65+AJ66+AJ67</f>
        <v>#REF!</v>
      </c>
      <c r="AK68" s="7"/>
      <c r="AL68" s="7" t="e">
        <f>+AL63+AL64+AL65+AL66+AL67</f>
        <v>#REF!</v>
      </c>
      <c r="AM68" s="7" t="e">
        <f>+AM63+AM64+AM65+AM66+AM67</f>
        <v>#REF!</v>
      </c>
      <c r="AN68" s="7"/>
      <c r="AO68" s="7"/>
      <c r="AR68" s="7"/>
      <c r="AZ68" s="5"/>
      <c r="BD68" s="5"/>
    </row>
    <row r="69" spans="2:62" ht="15" thickBot="1"/>
    <row r="70" spans="2:62" s="2" customFormat="1" ht="15" hidden="1" thickBot="1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AB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" t="s">
        <v>102</v>
      </c>
      <c r="AQ70" s="2" t="e">
        <f>#REF!+#REF!+AP60+AQ60-AL68-AM68</f>
        <v>#REF!</v>
      </c>
      <c r="AR70" s="4"/>
      <c r="AZ70" s="1"/>
      <c r="BD70" s="1"/>
    </row>
    <row r="71" spans="2:62" s="2" customFormat="1" ht="15" hidden="1" thickBot="1">
      <c r="C71" s="2" t="s">
        <v>46</v>
      </c>
      <c r="D71" s="4"/>
      <c r="E71" s="4" t="e">
        <f>+E63+E65</f>
        <v>#REF!</v>
      </c>
      <c r="F71" s="4"/>
      <c r="G71" s="4"/>
      <c r="H71" s="4" t="e">
        <f>+H63+H65</f>
        <v>#REF!</v>
      </c>
      <c r="I71" s="4"/>
      <c r="J71" s="4"/>
      <c r="K71" s="4" t="e">
        <f>+K63+K65</f>
        <v>#REF!</v>
      </c>
      <c r="L71" s="4"/>
      <c r="M71" s="4"/>
      <c r="N71" s="4" t="e">
        <f>+N63+N65</f>
        <v>#REF!</v>
      </c>
      <c r="O71" s="4"/>
      <c r="P71" s="4"/>
      <c r="Q71" s="4" t="e">
        <f>+Q63+Q65</f>
        <v>#REF!</v>
      </c>
      <c r="R71" s="4"/>
      <c r="S71" s="4"/>
      <c r="T71" s="4" t="e">
        <f>+T63+T65</f>
        <v>#REF!</v>
      </c>
      <c r="U71" s="4"/>
      <c r="V71" s="4"/>
      <c r="W71" s="4" t="e">
        <f>+W63+W65</f>
        <v>#REF!</v>
      </c>
      <c r="X71" s="4"/>
      <c r="Y71" s="4"/>
      <c r="Z71" s="4" t="e">
        <f>+Z63+Z65</f>
        <v>#REF!</v>
      </c>
      <c r="AB71" s="4"/>
      <c r="AC71" s="4" t="e">
        <f>+AC63+AC65</f>
        <v>#REF!</v>
      </c>
      <c r="AE71" s="4"/>
      <c r="AF71" s="4" t="e">
        <f>+AF63+AF65</f>
        <v>#REF!</v>
      </c>
      <c r="AG71" s="4"/>
      <c r="AH71" s="4"/>
      <c r="AI71" s="4" t="e">
        <f>+AI63+AI65</f>
        <v>#REF!</v>
      </c>
      <c r="AJ71" s="4"/>
      <c r="AK71" s="4"/>
      <c r="AL71" s="4" t="e">
        <f>+AL63+AL65</f>
        <v>#REF!</v>
      </c>
      <c r="AM71" s="4"/>
      <c r="AN71" s="4"/>
      <c r="AO71" s="4"/>
      <c r="AR71" s="4"/>
    </row>
    <row r="72" spans="2:62" ht="15" hidden="1" thickBot="1">
      <c r="C72" s="1" t="s">
        <v>99</v>
      </c>
      <c r="AZ72" s="2"/>
      <c r="BD72" s="2"/>
    </row>
    <row r="73" spans="2:62" ht="15" hidden="1" thickBot="1">
      <c r="C73" s="1" t="s">
        <v>100</v>
      </c>
    </row>
    <row r="74" spans="2:62" ht="18">
      <c r="AX74" s="69" t="s">
        <v>142</v>
      </c>
      <c r="AY74" s="70"/>
      <c r="AZ74" s="71"/>
      <c r="BB74" s="69" t="s">
        <v>142</v>
      </c>
      <c r="BC74" s="70"/>
      <c r="BD74" s="71"/>
    </row>
    <row r="75" spans="2:62">
      <c r="AX75" s="53" t="s">
        <v>90</v>
      </c>
      <c r="AY75" s="54">
        <f>AY19-AY51</f>
        <v>-1600</v>
      </c>
      <c r="AZ75" s="55"/>
      <c r="BB75" s="53" t="s">
        <v>90</v>
      </c>
      <c r="BC75" s="54">
        <f>BC19-BC51</f>
        <v>-1800</v>
      </c>
      <c r="BD75" s="55"/>
    </row>
    <row r="76" spans="2:62">
      <c r="AX76" s="53" t="s">
        <v>9</v>
      </c>
      <c r="AY76" s="56">
        <f>AY20-AY42</f>
        <v>-1415</v>
      </c>
      <c r="AZ76" s="55"/>
      <c r="BB76" s="53" t="s">
        <v>9</v>
      </c>
      <c r="BC76" s="56">
        <f>BC20-BC42</f>
        <v>374</v>
      </c>
      <c r="BD76" s="55"/>
    </row>
    <row r="77" spans="2:62">
      <c r="AX77" s="53" t="s">
        <v>135</v>
      </c>
      <c r="AY77" s="57">
        <f>+AY9+AY10+AY11+AY12-AY32-AY34-AY36-AY37-AY38</f>
        <v>-1010</v>
      </c>
      <c r="AZ77" s="55"/>
      <c r="BB77" s="53" t="s">
        <v>135</v>
      </c>
      <c r="BC77" s="57">
        <f>+BC9+BC10+BC11+BC12-BC32-BC34-BC36-BC37-BC38</f>
        <v>-305</v>
      </c>
      <c r="BD77" s="55"/>
    </row>
    <row r="78" spans="2:62">
      <c r="AX78" s="53" t="s">
        <v>136</v>
      </c>
      <c r="AY78" s="58">
        <f>-AY33-AY54</f>
        <v>-400</v>
      </c>
      <c r="AZ78" s="55"/>
      <c r="BB78" s="53" t="s">
        <v>136</v>
      </c>
      <c r="BC78" s="58">
        <f>-BC33-BC54</f>
        <v>-450</v>
      </c>
      <c r="BD78" s="55"/>
    </row>
    <row r="79" spans="2:62">
      <c r="AX79" s="53" t="s">
        <v>7</v>
      </c>
      <c r="AY79" s="8"/>
      <c r="AZ79" s="55">
        <f>AZ60</f>
        <v>-800</v>
      </c>
      <c r="BB79" s="53" t="s">
        <v>7</v>
      </c>
      <c r="BC79" s="8"/>
      <c r="BD79" s="55">
        <f>BD60</f>
        <v>-1000</v>
      </c>
      <c r="BJ79" s="39"/>
    </row>
    <row r="80" spans="2:62">
      <c r="AX80" s="59" t="s">
        <v>139</v>
      </c>
      <c r="AY80" s="60">
        <f>AY13+AY14+AY15</f>
        <v>250</v>
      </c>
      <c r="AZ80" s="55"/>
      <c r="BB80" s="59" t="s">
        <v>139</v>
      </c>
      <c r="BC80" s="60">
        <f>BC13+BC14+BC15</f>
        <v>0</v>
      </c>
      <c r="BD80" s="55"/>
      <c r="BJ80" s="39"/>
    </row>
    <row r="81" spans="50:56">
      <c r="AX81" s="59" t="s">
        <v>137</v>
      </c>
      <c r="AY81" s="61">
        <f>AY17-AY47</f>
        <v>6200</v>
      </c>
      <c r="AZ81" s="55"/>
      <c r="BB81" s="59" t="s">
        <v>137</v>
      </c>
      <c r="BC81" s="61">
        <f>BC17-BC47</f>
        <v>5900</v>
      </c>
      <c r="BD81" s="55"/>
    </row>
    <row r="82" spans="50:56">
      <c r="AX82" s="59" t="s">
        <v>138</v>
      </c>
      <c r="AY82" s="62">
        <f>-AY35-AY39-AY40-AY41-AY43-AY44-AY45-AY46-AY48-AY49-AY53-AY55-AY56-AY57-AY30</f>
        <v>-3250</v>
      </c>
      <c r="AZ82" s="55"/>
      <c r="BB82" s="59" t="s">
        <v>138</v>
      </c>
      <c r="BC82" s="62">
        <f>-BC35-BC39-BC40-BC41-BC43-BC44-BC45-BC46-BC48-BC49-BC53-BC55-BC56-BC57-BC30-BC50</f>
        <v>-3725</v>
      </c>
      <c r="BD82" s="55"/>
    </row>
    <row r="83" spans="50:56">
      <c r="AX83" s="53"/>
      <c r="AY83" s="8"/>
      <c r="AZ83" s="55"/>
      <c r="BB83" s="53"/>
      <c r="BC83" s="8"/>
      <c r="BD83" s="55"/>
    </row>
    <row r="84" spans="50:56">
      <c r="AX84" s="63" t="s">
        <v>134</v>
      </c>
      <c r="AY84" s="8">
        <f>AY75+AY76+AY77+AY78+AY79+AY81+AY82+AY80</f>
        <v>-1225</v>
      </c>
      <c r="AZ84" s="55">
        <f>AZ75+AZ76+AZ77+AZ78+AZ79+AZ81+AZ82+AZ80</f>
        <v>-800</v>
      </c>
      <c r="BB84" s="63" t="s">
        <v>134</v>
      </c>
      <c r="BC84" s="8">
        <f>BC75+BC76+BC77+BC78+BC79+BC81+BC82+BC80</f>
        <v>-6</v>
      </c>
      <c r="BD84" s="55">
        <f>BD75+BD76+BD77+BD78+BD79+BD81+BD82+BD80</f>
        <v>-1000</v>
      </c>
    </row>
    <row r="85" spans="50:56" ht="15" thickBot="1">
      <c r="AX85" s="64"/>
      <c r="AY85" s="65" t="s">
        <v>141</v>
      </c>
      <c r="AZ85" s="66"/>
      <c r="BB85" s="64"/>
      <c r="BC85" s="65" t="s">
        <v>141</v>
      </c>
      <c r="BD85" s="66"/>
    </row>
  </sheetData>
  <mergeCells count="20">
    <mergeCell ref="T4:U4"/>
    <mergeCell ref="AY4:BA4"/>
    <mergeCell ref="A1:AV1"/>
    <mergeCell ref="A2:AV2"/>
    <mergeCell ref="N4:O4"/>
    <mergeCell ref="Q4:R4"/>
    <mergeCell ref="AS4:AU4"/>
    <mergeCell ref="AP4:AQ4"/>
    <mergeCell ref="E4:F4"/>
    <mergeCell ref="H4:I4"/>
    <mergeCell ref="K4:L4"/>
    <mergeCell ref="AL4:AM4"/>
    <mergeCell ref="AI4:AJ4"/>
    <mergeCell ref="AF4:AG4"/>
    <mergeCell ref="AC4:AD4"/>
    <mergeCell ref="BC4:BE4"/>
    <mergeCell ref="BB74:BD74"/>
    <mergeCell ref="AX74:AZ74"/>
    <mergeCell ref="Z4:AA4"/>
    <mergeCell ref="W4:X4"/>
  </mergeCells>
  <phoneticPr fontId="5" type="noConversion"/>
  <pageMargins left="0.7" right="0.7" top="0.75" bottom="0.75" header="0.3" footer="0.3"/>
  <pageSetup scale="64" fitToHeight="2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XFD1048576"/>
    </sheetView>
  </sheetViews>
  <sheetFormatPr baseColWidth="10" defaultColWidth="8.83203125" defaultRowHeight="14" x14ac:dyDescent="0"/>
  <cols>
    <col min="1" max="1" width="36.5" customWidth="1"/>
    <col min="2" max="2" width="12.5" hidden="1" customWidth="1"/>
    <col min="3" max="3" width="12.5" style="19" hidden="1" customWidth="1"/>
    <col min="4" max="6" width="12.5" style="19" customWidth="1"/>
    <col min="7" max="8" width="12.5" customWidth="1"/>
    <col min="9" max="9" width="24" customWidth="1"/>
    <col min="10" max="10" width="12.5" customWidth="1"/>
  </cols>
  <sheetData>
    <row r="1" spans="1:10">
      <c r="A1" t="s">
        <v>47</v>
      </c>
    </row>
    <row r="2" spans="1:10">
      <c r="A2" t="s">
        <v>48</v>
      </c>
    </row>
    <row r="3" spans="1:10" s="20" customFormat="1" ht="28">
      <c r="A3" s="20" t="s">
        <v>14</v>
      </c>
      <c r="B3" s="21" t="s">
        <v>49</v>
      </c>
      <c r="C3" s="21" t="s">
        <v>50</v>
      </c>
      <c r="D3" s="21" t="s">
        <v>51</v>
      </c>
      <c r="E3" s="21" t="s">
        <v>52</v>
      </c>
      <c r="F3" s="21" t="s">
        <v>53</v>
      </c>
      <c r="G3" s="20" t="s">
        <v>54</v>
      </c>
      <c r="H3" s="21" t="s">
        <v>55</v>
      </c>
      <c r="I3" s="22" t="s">
        <v>56</v>
      </c>
      <c r="J3" s="23" t="s">
        <v>57</v>
      </c>
    </row>
    <row r="4" spans="1:10">
      <c r="A4" t="s">
        <v>58</v>
      </c>
      <c r="B4" s="19">
        <v>1115</v>
      </c>
      <c r="C4" s="19">
        <v>925</v>
      </c>
      <c r="D4" s="19">
        <v>950</v>
      </c>
      <c r="E4" s="19">
        <v>650</v>
      </c>
      <c r="F4" s="19">
        <v>750</v>
      </c>
      <c r="G4" s="24">
        <f>(SUM(D4:F4))/3</f>
        <v>783.33333333333337</v>
      </c>
      <c r="J4" s="24">
        <f>+G4+H4</f>
        <v>783.33333333333337</v>
      </c>
    </row>
    <row r="5" spans="1:10">
      <c r="A5" t="s">
        <v>59</v>
      </c>
      <c r="B5" s="19">
        <v>115</v>
      </c>
      <c r="C5" s="19">
        <v>90</v>
      </c>
      <c r="D5" s="19">
        <v>90</v>
      </c>
      <c r="E5" s="19">
        <v>85</v>
      </c>
      <c r="F5" s="19">
        <v>80</v>
      </c>
      <c r="G5" s="24">
        <f t="shared" ref="G5:G19" si="0">(SUM(D5:F5))/3</f>
        <v>85</v>
      </c>
      <c r="J5" s="24">
        <f t="shared" ref="J5:J19" si="1">+G5+H5</f>
        <v>85</v>
      </c>
    </row>
    <row r="6" spans="1:10">
      <c r="A6" t="s">
        <v>60</v>
      </c>
      <c r="B6" s="19">
        <v>440</v>
      </c>
      <c r="C6" s="19">
        <v>575</v>
      </c>
      <c r="D6" s="19">
        <v>560</v>
      </c>
      <c r="E6" s="19">
        <v>555</v>
      </c>
      <c r="F6" s="19">
        <v>0</v>
      </c>
      <c r="G6" s="24">
        <f t="shared" si="0"/>
        <v>371.66666666666669</v>
      </c>
      <c r="J6" s="24">
        <f t="shared" si="1"/>
        <v>371.66666666666669</v>
      </c>
    </row>
    <row r="7" spans="1:10">
      <c r="A7" t="s">
        <v>61</v>
      </c>
      <c r="B7" s="19">
        <v>840</v>
      </c>
      <c r="C7" s="19">
        <v>320</v>
      </c>
      <c r="D7" s="19">
        <v>740</v>
      </c>
      <c r="E7" s="19">
        <v>530</v>
      </c>
      <c r="F7" s="19">
        <v>1485</v>
      </c>
      <c r="G7" s="24">
        <f t="shared" si="0"/>
        <v>918.33333333333337</v>
      </c>
      <c r="H7" s="24"/>
      <c r="J7" s="24">
        <f t="shared" si="1"/>
        <v>918.33333333333337</v>
      </c>
    </row>
    <row r="8" spans="1:10">
      <c r="A8" t="s">
        <v>62</v>
      </c>
      <c r="B8" s="19">
        <v>60</v>
      </c>
      <c r="C8" s="19">
        <v>0</v>
      </c>
      <c r="D8" s="19">
        <v>90</v>
      </c>
      <c r="E8" s="19">
        <v>80</v>
      </c>
      <c r="F8" s="19">
        <v>10</v>
      </c>
      <c r="G8" s="24">
        <f t="shared" si="0"/>
        <v>60</v>
      </c>
      <c r="H8" s="19">
        <v>-60</v>
      </c>
      <c r="J8" s="24">
        <f t="shared" si="1"/>
        <v>0</v>
      </c>
    </row>
    <row r="9" spans="1:10">
      <c r="A9" t="s">
        <v>63</v>
      </c>
      <c r="B9" s="19">
        <v>220</v>
      </c>
      <c r="C9" s="19">
        <v>89.5</v>
      </c>
      <c r="D9" s="19">
        <v>1480</v>
      </c>
      <c r="E9" s="19">
        <v>120</v>
      </c>
      <c r="F9" s="19">
        <v>120</v>
      </c>
      <c r="G9" s="24">
        <f t="shared" si="0"/>
        <v>573.33333333333337</v>
      </c>
      <c r="H9" s="19">
        <v>-453</v>
      </c>
      <c r="J9" s="24">
        <f t="shared" si="1"/>
        <v>120.33333333333337</v>
      </c>
    </row>
    <row r="10" spans="1:10">
      <c r="A10" t="s">
        <v>8</v>
      </c>
      <c r="B10" s="19">
        <v>5689</v>
      </c>
      <c r="C10" s="19">
        <v>5922</v>
      </c>
      <c r="D10" s="19">
        <v>7637</v>
      </c>
      <c r="E10" s="19">
        <v>5967.5</v>
      </c>
      <c r="F10" s="19">
        <v>7494</v>
      </c>
      <c r="G10" s="24">
        <f t="shared" si="0"/>
        <v>7032.833333333333</v>
      </c>
      <c r="H10" s="24"/>
      <c r="J10" s="24">
        <f t="shared" si="1"/>
        <v>7032.833333333333</v>
      </c>
    </row>
    <row r="11" spans="1:10">
      <c r="A11" t="s">
        <v>9</v>
      </c>
      <c r="B11" s="19">
        <v>1526.5</v>
      </c>
      <c r="C11" s="19">
        <v>2401</v>
      </c>
      <c r="D11" s="19">
        <v>2931</v>
      </c>
      <c r="E11" s="19">
        <v>2992.5</v>
      </c>
      <c r="F11" s="19">
        <v>2395</v>
      </c>
      <c r="G11" s="24">
        <f t="shared" si="0"/>
        <v>2772.8333333333335</v>
      </c>
      <c r="H11" s="24"/>
      <c r="J11" s="24">
        <f t="shared" si="1"/>
        <v>2772.8333333333335</v>
      </c>
    </row>
    <row r="12" spans="1:10">
      <c r="A12" t="s">
        <v>64</v>
      </c>
      <c r="B12" s="19">
        <v>3.48</v>
      </c>
      <c r="C12" s="19">
        <v>3.93</v>
      </c>
      <c r="D12" s="19">
        <v>3.63</v>
      </c>
      <c r="E12" s="19">
        <v>5.98</v>
      </c>
      <c r="F12" s="19">
        <v>6.71</v>
      </c>
      <c r="G12" s="24">
        <f t="shared" si="0"/>
        <v>5.44</v>
      </c>
      <c r="J12" s="24">
        <f t="shared" si="1"/>
        <v>5.44</v>
      </c>
    </row>
    <row r="13" spans="1:10">
      <c r="A13" t="s">
        <v>65</v>
      </c>
      <c r="B13" s="19">
        <v>75</v>
      </c>
      <c r="C13" s="19">
        <v>200</v>
      </c>
      <c r="D13" s="19">
        <v>300</v>
      </c>
      <c r="E13" s="19">
        <v>75</v>
      </c>
      <c r="F13" s="19">
        <v>175</v>
      </c>
      <c r="G13" s="24">
        <f t="shared" si="0"/>
        <v>183.33333333333334</v>
      </c>
      <c r="J13" s="24">
        <f t="shared" si="1"/>
        <v>183.33333333333334</v>
      </c>
    </row>
    <row r="14" spans="1:10">
      <c r="A14" t="s">
        <v>28</v>
      </c>
      <c r="B14" s="19">
        <v>159</v>
      </c>
      <c r="C14" s="19">
        <v>223</v>
      </c>
      <c r="D14" s="19">
        <v>300</v>
      </c>
      <c r="E14" s="19">
        <v>909</v>
      </c>
      <c r="F14" s="19">
        <v>472.45</v>
      </c>
      <c r="G14" s="24">
        <f t="shared" si="0"/>
        <v>560.48333333333335</v>
      </c>
      <c r="J14" s="24">
        <f t="shared" si="1"/>
        <v>560.48333333333335</v>
      </c>
    </row>
    <row r="15" spans="1:10">
      <c r="A15" t="s">
        <v>66</v>
      </c>
      <c r="B15" s="19">
        <v>0</v>
      </c>
      <c r="C15" s="19">
        <v>0</v>
      </c>
      <c r="D15" s="19">
        <v>0</v>
      </c>
      <c r="G15" s="24">
        <f t="shared" si="0"/>
        <v>0</v>
      </c>
      <c r="J15" s="24">
        <f t="shared" si="1"/>
        <v>0</v>
      </c>
    </row>
    <row r="16" spans="1:10">
      <c r="A16" t="s">
        <v>67</v>
      </c>
      <c r="B16" s="19">
        <v>0</v>
      </c>
      <c r="C16" s="19">
        <v>0</v>
      </c>
      <c r="D16" s="19">
        <v>0</v>
      </c>
      <c r="G16" s="24">
        <f t="shared" si="0"/>
        <v>0</v>
      </c>
      <c r="J16" s="24">
        <f t="shared" si="1"/>
        <v>0</v>
      </c>
    </row>
    <row r="17" spans="1:10">
      <c r="A17" t="s">
        <v>68</v>
      </c>
      <c r="B17" s="19">
        <v>0</v>
      </c>
      <c r="C17" s="19">
        <v>0</v>
      </c>
      <c r="D17" s="19">
        <v>0</v>
      </c>
      <c r="G17" s="24">
        <f t="shared" si="0"/>
        <v>0</v>
      </c>
      <c r="J17" s="24">
        <f t="shared" si="1"/>
        <v>0</v>
      </c>
    </row>
    <row r="18" spans="1:10">
      <c r="A18" t="s">
        <v>69</v>
      </c>
      <c r="B18" s="19">
        <v>0</v>
      </c>
      <c r="C18" s="19">
        <v>0</v>
      </c>
      <c r="D18" s="19">
        <v>141</v>
      </c>
      <c r="E18" s="19">
        <v>129</v>
      </c>
      <c r="F18" s="19">
        <v>0</v>
      </c>
      <c r="G18" s="24">
        <f t="shared" si="0"/>
        <v>90</v>
      </c>
      <c r="J18" s="24">
        <f t="shared" si="1"/>
        <v>90</v>
      </c>
    </row>
    <row r="19" spans="1:10">
      <c r="A19" t="s">
        <v>70</v>
      </c>
      <c r="C19" s="19">
        <v>0</v>
      </c>
      <c r="D19" s="19">
        <v>1957.25</v>
      </c>
      <c r="E19" s="19">
        <v>7626.83</v>
      </c>
      <c r="F19" s="19">
        <v>120</v>
      </c>
      <c r="G19" s="24">
        <f t="shared" si="0"/>
        <v>3234.6933333333332</v>
      </c>
      <c r="H19" s="24">
        <f>-G19</f>
        <v>-3234.6933333333332</v>
      </c>
      <c r="I19" t="s">
        <v>71</v>
      </c>
      <c r="J19" s="24">
        <f t="shared" si="1"/>
        <v>0</v>
      </c>
    </row>
    <row r="20" spans="1:10">
      <c r="A20" s="25" t="s">
        <v>72</v>
      </c>
      <c r="B20" s="26">
        <f>SUM(B4:B19)</f>
        <v>10242.98</v>
      </c>
      <c r="C20" s="26">
        <f>SUM(C4:C19)</f>
        <v>10749.43</v>
      </c>
      <c r="D20" s="26">
        <f>SUM(D4:D19)</f>
        <v>17179.879999999997</v>
      </c>
      <c r="E20" s="26">
        <f t="shared" ref="E20:J20" si="2">SUM(E4:E19)</f>
        <v>19725.809999999998</v>
      </c>
      <c r="F20" s="26">
        <f t="shared" si="2"/>
        <v>13108.16</v>
      </c>
      <c r="G20" s="26">
        <f t="shared" si="2"/>
        <v>16671.283333333336</v>
      </c>
      <c r="H20" s="26">
        <f t="shared" si="2"/>
        <v>-3747.6933333333332</v>
      </c>
      <c r="J20" s="26">
        <f t="shared" si="2"/>
        <v>12923.590000000002</v>
      </c>
    </row>
    <row r="22" spans="1:10">
      <c r="A22" t="s">
        <v>5</v>
      </c>
    </row>
    <row r="23" spans="1:10">
      <c r="A23" t="s">
        <v>73</v>
      </c>
      <c r="B23" s="19">
        <v>0</v>
      </c>
      <c r="C23" s="19">
        <v>0</v>
      </c>
      <c r="D23" s="19">
        <v>0</v>
      </c>
      <c r="G23" s="24">
        <f t="shared" ref="G23:G52" si="3">(SUM(D23:F23))/3</f>
        <v>0</v>
      </c>
      <c r="J23" s="24">
        <f t="shared" ref="J23:J52" si="4">+G23+H23</f>
        <v>0</v>
      </c>
    </row>
    <row r="24" spans="1:10">
      <c r="A24" t="s">
        <v>74</v>
      </c>
      <c r="B24" s="19">
        <v>240</v>
      </c>
      <c r="C24" s="19">
        <v>180</v>
      </c>
      <c r="D24" s="19">
        <v>110</v>
      </c>
      <c r="E24" s="19">
        <v>135</v>
      </c>
      <c r="F24" s="19">
        <v>170</v>
      </c>
      <c r="G24" s="24">
        <f t="shared" si="3"/>
        <v>138.33333333333334</v>
      </c>
      <c r="J24" s="24">
        <f t="shared" si="4"/>
        <v>138.33333333333334</v>
      </c>
    </row>
    <row r="25" spans="1:10">
      <c r="A25" t="s">
        <v>75</v>
      </c>
      <c r="B25" s="19">
        <v>39.6</v>
      </c>
      <c r="C25" s="19">
        <v>41.73</v>
      </c>
      <c r="D25" s="19">
        <v>42.19</v>
      </c>
      <c r="E25" s="19">
        <v>0</v>
      </c>
      <c r="F25" s="19">
        <v>0</v>
      </c>
      <c r="G25" s="24">
        <f t="shared" si="3"/>
        <v>14.063333333333333</v>
      </c>
      <c r="J25" s="24">
        <f t="shared" si="4"/>
        <v>14.063333333333333</v>
      </c>
    </row>
    <row r="26" spans="1:10">
      <c r="A26" t="s">
        <v>76</v>
      </c>
      <c r="B26" s="19">
        <v>1165</v>
      </c>
      <c r="C26" s="19">
        <v>445</v>
      </c>
      <c r="D26" s="19">
        <v>445</v>
      </c>
      <c r="E26" s="19">
        <v>445</v>
      </c>
      <c r="F26" s="19">
        <v>665</v>
      </c>
      <c r="G26" s="24">
        <f t="shared" si="3"/>
        <v>518.33333333333337</v>
      </c>
      <c r="H26" s="24"/>
      <c r="J26" s="24">
        <f t="shared" si="4"/>
        <v>518.33333333333337</v>
      </c>
    </row>
    <row r="27" spans="1:10">
      <c r="A27" t="s">
        <v>77</v>
      </c>
      <c r="B27" s="19">
        <v>1680</v>
      </c>
      <c r="C27" s="19">
        <v>490</v>
      </c>
      <c r="D27" s="19">
        <v>890</v>
      </c>
      <c r="E27" s="19">
        <v>720</v>
      </c>
      <c r="F27" s="19">
        <v>740</v>
      </c>
      <c r="G27" s="24">
        <f t="shared" si="3"/>
        <v>783.33333333333337</v>
      </c>
      <c r="H27" s="24"/>
      <c r="J27" s="24">
        <f t="shared" si="4"/>
        <v>783.33333333333337</v>
      </c>
    </row>
    <row r="28" spans="1:10">
      <c r="A28" t="s">
        <v>78</v>
      </c>
      <c r="B28" s="19">
        <v>419.44</v>
      </c>
      <c r="C28" s="19">
        <v>355.37</v>
      </c>
      <c r="D28" s="19">
        <v>149.91</v>
      </c>
      <c r="E28" s="19">
        <v>145.01</v>
      </c>
      <c r="F28" s="19">
        <v>217.04</v>
      </c>
      <c r="G28" s="24">
        <f t="shared" si="3"/>
        <v>170.65333333333331</v>
      </c>
      <c r="J28" s="24">
        <f t="shared" si="4"/>
        <v>170.65333333333331</v>
      </c>
    </row>
    <row r="29" spans="1:10">
      <c r="A29" t="s">
        <v>79</v>
      </c>
      <c r="B29" s="19">
        <v>315</v>
      </c>
      <c r="C29" s="19">
        <v>0</v>
      </c>
      <c r="D29" s="19">
        <v>0</v>
      </c>
      <c r="E29" s="19">
        <v>0</v>
      </c>
      <c r="F29" s="19">
        <v>0</v>
      </c>
      <c r="G29" s="24">
        <f t="shared" si="3"/>
        <v>0</v>
      </c>
      <c r="J29" s="24">
        <f t="shared" si="4"/>
        <v>0</v>
      </c>
    </row>
    <row r="30" spans="1:10">
      <c r="A30" t="s">
        <v>80</v>
      </c>
      <c r="B30" s="19">
        <v>175</v>
      </c>
      <c r="C30" s="19">
        <v>0</v>
      </c>
      <c r="D30" s="19">
        <v>150</v>
      </c>
      <c r="E30" s="19">
        <v>0</v>
      </c>
      <c r="F30" s="19">
        <v>0</v>
      </c>
      <c r="G30" s="24">
        <f t="shared" si="3"/>
        <v>50</v>
      </c>
      <c r="J30" s="24">
        <f t="shared" si="4"/>
        <v>50</v>
      </c>
    </row>
    <row r="31" spans="1:10">
      <c r="A31" t="s">
        <v>81</v>
      </c>
      <c r="B31" s="19">
        <v>300</v>
      </c>
      <c r="C31" s="19">
        <v>250</v>
      </c>
      <c r="D31" s="19">
        <v>250</v>
      </c>
      <c r="E31" s="19">
        <v>250</v>
      </c>
      <c r="F31" s="19">
        <v>500</v>
      </c>
      <c r="G31" s="24">
        <f t="shared" si="3"/>
        <v>333.33333333333331</v>
      </c>
      <c r="H31" s="19">
        <v>367</v>
      </c>
      <c r="I31" t="s">
        <v>82</v>
      </c>
      <c r="J31" s="24">
        <f t="shared" si="4"/>
        <v>700.33333333333326</v>
      </c>
    </row>
    <row r="32" spans="1:10">
      <c r="A32" t="s">
        <v>83</v>
      </c>
      <c r="B32" s="19">
        <v>110</v>
      </c>
      <c r="C32" s="19">
        <v>730</v>
      </c>
      <c r="D32" s="19">
        <v>1100</v>
      </c>
      <c r="E32" s="19">
        <v>445</v>
      </c>
      <c r="F32" s="19">
        <v>0</v>
      </c>
      <c r="G32" s="24">
        <f t="shared" si="3"/>
        <v>515</v>
      </c>
      <c r="H32" s="24">
        <f>-G32</f>
        <v>-515</v>
      </c>
      <c r="I32" t="s">
        <v>84</v>
      </c>
      <c r="J32" s="24">
        <f t="shared" si="4"/>
        <v>0</v>
      </c>
    </row>
    <row r="33" spans="1:10">
      <c r="A33" t="s">
        <v>9</v>
      </c>
      <c r="B33" s="19">
        <v>1867.56</v>
      </c>
      <c r="C33" s="19">
        <v>2018.42</v>
      </c>
      <c r="D33" s="19">
        <v>2398.0700000000002</v>
      </c>
      <c r="E33" s="19">
        <v>2358.04</v>
      </c>
      <c r="F33" s="19">
        <v>1459.73</v>
      </c>
      <c r="G33" s="24">
        <f t="shared" si="3"/>
        <v>2071.9466666666667</v>
      </c>
      <c r="H33" s="24"/>
      <c r="J33" s="24">
        <f t="shared" si="4"/>
        <v>2071.9466666666667</v>
      </c>
    </row>
    <row r="34" spans="1:10">
      <c r="A34" t="s">
        <v>85</v>
      </c>
      <c r="B34" s="19">
        <v>0</v>
      </c>
      <c r="C34" s="19">
        <v>0</v>
      </c>
      <c r="D34" s="19">
        <v>0</v>
      </c>
      <c r="G34" s="24">
        <f t="shared" si="3"/>
        <v>0</v>
      </c>
      <c r="H34">
        <v>100</v>
      </c>
      <c r="J34" s="24">
        <f t="shared" si="4"/>
        <v>100</v>
      </c>
    </row>
    <row r="35" spans="1:10">
      <c r="A35" t="s">
        <v>86</v>
      </c>
      <c r="B35" s="19">
        <v>0</v>
      </c>
      <c r="C35" s="19">
        <v>0</v>
      </c>
      <c r="D35" s="19">
        <v>0</v>
      </c>
      <c r="G35" s="24">
        <f t="shared" si="3"/>
        <v>0</v>
      </c>
      <c r="J35" s="24">
        <f t="shared" si="4"/>
        <v>0</v>
      </c>
    </row>
    <row r="36" spans="1:10">
      <c r="A36" t="s">
        <v>12</v>
      </c>
      <c r="B36" s="19">
        <v>1036.32</v>
      </c>
      <c r="C36" s="19">
        <v>125.43</v>
      </c>
      <c r="D36" s="19">
        <v>120.2</v>
      </c>
      <c r="E36" s="19">
        <v>96.76</v>
      </c>
      <c r="F36" s="19">
        <v>77.89</v>
      </c>
      <c r="G36" s="24">
        <f t="shared" si="3"/>
        <v>98.283333333333346</v>
      </c>
      <c r="H36" s="24"/>
      <c r="J36" s="24">
        <f t="shared" si="4"/>
        <v>98.283333333333346</v>
      </c>
    </row>
    <row r="37" spans="1:10">
      <c r="A37" t="s">
        <v>87</v>
      </c>
      <c r="B37" s="19">
        <v>0</v>
      </c>
      <c r="C37" s="19">
        <v>213.9</v>
      </c>
      <c r="D37" s="19">
        <v>435.43</v>
      </c>
      <c r="E37" s="19">
        <v>126.82</v>
      </c>
      <c r="F37" s="19">
        <v>385.54</v>
      </c>
      <c r="G37" s="24">
        <f t="shared" si="3"/>
        <v>315.93</v>
      </c>
      <c r="J37" s="24">
        <f t="shared" si="4"/>
        <v>315.93</v>
      </c>
    </row>
    <row r="38" spans="1:10">
      <c r="A38" t="s">
        <v>28</v>
      </c>
      <c r="B38" s="19">
        <v>500.4</v>
      </c>
      <c r="C38" s="19">
        <v>42</v>
      </c>
      <c r="D38" s="19">
        <v>61.96</v>
      </c>
      <c r="E38" s="19">
        <v>629.65</v>
      </c>
      <c r="F38" s="19">
        <v>472.45</v>
      </c>
      <c r="G38" s="24">
        <f t="shared" si="3"/>
        <v>388.02</v>
      </c>
      <c r="J38" s="24">
        <f t="shared" si="4"/>
        <v>388.02</v>
      </c>
    </row>
    <row r="39" spans="1:10">
      <c r="A39" t="s">
        <v>20</v>
      </c>
      <c r="B39" s="19">
        <v>137.22</v>
      </c>
      <c r="C39" s="19">
        <v>218.74</v>
      </c>
      <c r="D39" s="19">
        <v>232.2</v>
      </c>
      <c r="E39" s="19">
        <v>336.16</v>
      </c>
      <c r="F39" s="19">
        <v>235.63</v>
      </c>
      <c r="G39" s="24">
        <f t="shared" si="3"/>
        <v>267.99666666666667</v>
      </c>
      <c r="J39" s="24">
        <f t="shared" si="4"/>
        <v>267.99666666666667</v>
      </c>
    </row>
    <row r="40" spans="1:10">
      <c r="A40" t="s">
        <v>88</v>
      </c>
      <c r="B40" s="19">
        <v>0</v>
      </c>
      <c r="C40" s="19">
        <v>0</v>
      </c>
      <c r="D40" s="19">
        <v>0</v>
      </c>
      <c r="G40" s="24">
        <f t="shared" si="3"/>
        <v>0</v>
      </c>
      <c r="J40" s="24">
        <f t="shared" si="4"/>
        <v>0</v>
      </c>
    </row>
    <row r="41" spans="1:10">
      <c r="A41" t="s">
        <v>89</v>
      </c>
      <c r="B41" s="19">
        <v>869.75</v>
      </c>
      <c r="C41" s="19">
        <v>743</v>
      </c>
      <c r="D41" s="19">
        <v>838</v>
      </c>
      <c r="E41" s="19">
        <v>1099</v>
      </c>
      <c r="F41" s="19">
        <v>746.5</v>
      </c>
      <c r="G41" s="24">
        <f t="shared" si="3"/>
        <v>894.5</v>
      </c>
      <c r="J41" s="24">
        <f t="shared" si="4"/>
        <v>894.5</v>
      </c>
    </row>
    <row r="42" spans="1:10">
      <c r="A42" t="s">
        <v>22</v>
      </c>
      <c r="B42" s="19">
        <v>400</v>
      </c>
      <c r="C42" s="19">
        <v>440</v>
      </c>
      <c r="D42" s="19">
        <v>430</v>
      </c>
      <c r="E42" s="19">
        <v>450</v>
      </c>
      <c r="F42" s="19">
        <v>525</v>
      </c>
      <c r="G42" s="24">
        <f t="shared" si="3"/>
        <v>468.33333333333331</v>
      </c>
      <c r="H42" s="19">
        <v>175</v>
      </c>
      <c r="J42" s="24">
        <f t="shared" si="4"/>
        <v>643.33333333333326</v>
      </c>
    </row>
    <row r="43" spans="1:10">
      <c r="A43" t="s">
        <v>90</v>
      </c>
      <c r="B43" s="19">
        <v>1684.86</v>
      </c>
      <c r="C43" s="19">
        <v>1858.55</v>
      </c>
      <c r="D43" s="19">
        <v>1646.01</v>
      </c>
      <c r="E43" s="19">
        <v>1757.97</v>
      </c>
      <c r="F43" s="19">
        <v>1402.93</v>
      </c>
      <c r="G43" s="24">
        <f t="shared" si="3"/>
        <v>1602.3033333333333</v>
      </c>
      <c r="H43" s="19">
        <v>400</v>
      </c>
      <c r="J43" s="24">
        <f t="shared" si="4"/>
        <v>2002.3033333333333</v>
      </c>
    </row>
    <row r="44" spans="1:10">
      <c r="A44" t="s">
        <v>23</v>
      </c>
      <c r="B44" s="19">
        <v>0</v>
      </c>
      <c r="C44" s="19">
        <v>36.07</v>
      </c>
      <c r="D44" s="19">
        <v>0</v>
      </c>
      <c r="G44" s="24">
        <f t="shared" si="3"/>
        <v>0</v>
      </c>
      <c r="J44" s="24">
        <f t="shared" si="4"/>
        <v>0</v>
      </c>
    </row>
    <row r="45" spans="1:10">
      <c r="A45" t="s">
        <v>38</v>
      </c>
      <c r="B45" s="19">
        <v>75.319999999999993</v>
      </c>
      <c r="C45" s="19">
        <v>20.73</v>
      </c>
      <c r="D45" s="19">
        <v>95.03</v>
      </c>
      <c r="E45" s="19">
        <v>10</v>
      </c>
      <c r="F45" s="19">
        <v>0</v>
      </c>
      <c r="G45" s="24">
        <f t="shared" si="3"/>
        <v>35.01</v>
      </c>
      <c r="H45" s="19">
        <v>-35.01</v>
      </c>
      <c r="J45" s="24">
        <f t="shared" si="4"/>
        <v>0</v>
      </c>
    </row>
    <row r="46" spans="1:10">
      <c r="A46" t="s">
        <v>67</v>
      </c>
      <c r="B46" s="19">
        <v>667.35</v>
      </c>
      <c r="C46" s="19">
        <v>307.79000000000002</v>
      </c>
      <c r="D46" s="19">
        <v>387.86</v>
      </c>
      <c r="E46" s="19">
        <v>226.38</v>
      </c>
      <c r="F46" s="19">
        <v>361.07</v>
      </c>
      <c r="G46" s="24">
        <f t="shared" si="3"/>
        <v>325.1033333333333</v>
      </c>
      <c r="H46" s="19">
        <v>50</v>
      </c>
      <c r="J46" s="24">
        <f t="shared" si="4"/>
        <v>375.1033333333333</v>
      </c>
    </row>
    <row r="47" spans="1:10">
      <c r="A47" t="s">
        <v>91</v>
      </c>
      <c r="B47" s="19">
        <v>224.82</v>
      </c>
      <c r="C47" s="19">
        <v>156.6</v>
      </c>
      <c r="D47" s="19">
        <v>135.78</v>
      </c>
      <c r="E47" s="19">
        <v>246.29</v>
      </c>
      <c r="F47" s="19">
        <v>225</v>
      </c>
      <c r="G47" s="24">
        <f t="shared" si="3"/>
        <v>202.35666666666665</v>
      </c>
      <c r="H47" s="19">
        <v>50</v>
      </c>
      <c r="J47" s="24">
        <f t="shared" si="4"/>
        <v>252.35666666666665</v>
      </c>
    </row>
    <row r="48" spans="1:10">
      <c r="A48" t="s">
        <v>92</v>
      </c>
      <c r="B48" s="19">
        <v>0</v>
      </c>
      <c r="C48" s="19">
        <v>0</v>
      </c>
      <c r="D48" s="19">
        <v>0</v>
      </c>
      <c r="G48" s="24">
        <f t="shared" si="3"/>
        <v>0</v>
      </c>
      <c r="J48" s="24">
        <f t="shared" si="4"/>
        <v>0</v>
      </c>
    </row>
    <row r="49" spans="1:10">
      <c r="A49" t="s">
        <v>68</v>
      </c>
      <c r="B49" s="19">
        <v>0</v>
      </c>
      <c r="C49" s="19">
        <v>0</v>
      </c>
      <c r="D49" s="19">
        <v>0</v>
      </c>
      <c r="G49" s="24">
        <f t="shared" si="3"/>
        <v>0</v>
      </c>
      <c r="J49" s="24">
        <f t="shared" si="4"/>
        <v>0</v>
      </c>
    </row>
    <row r="50" spans="1:10">
      <c r="A50" t="s">
        <v>93</v>
      </c>
      <c r="B50" s="19">
        <v>0</v>
      </c>
      <c r="C50" s="19">
        <v>0</v>
      </c>
      <c r="D50" s="19">
        <v>0</v>
      </c>
      <c r="E50" s="19">
        <v>109.95</v>
      </c>
      <c r="F50" s="19">
        <v>0</v>
      </c>
      <c r="G50" s="24">
        <f t="shared" si="3"/>
        <v>36.65</v>
      </c>
      <c r="H50" s="19">
        <v>500</v>
      </c>
      <c r="J50" s="24">
        <f t="shared" si="4"/>
        <v>536.65</v>
      </c>
    </row>
    <row r="51" spans="1:10">
      <c r="A51" t="s">
        <v>25</v>
      </c>
      <c r="B51" s="19">
        <v>1347.82</v>
      </c>
      <c r="C51" s="19">
        <v>769.05</v>
      </c>
      <c r="D51" s="19">
        <v>711.77</v>
      </c>
      <c r="E51" s="19">
        <v>714.31</v>
      </c>
      <c r="F51" s="19">
        <v>606.61</v>
      </c>
      <c r="G51" s="24">
        <f t="shared" si="3"/>
        <v>677.56333333333339</v>
      </c>
      <c r="J51" s="24">
        <f t="shared" si="4"/>
        <v>677.56333333333339</v>
      </c>
    </row>
    <row r="52" spans="1:10">
      <c r="A52" t="s">
        <v>94</v>
      </c>
      <c r="C52" s="19">
        <v>0</v>
      </c>
      <c r="D52" s="19">
        <v>1340</v>
      </c>
      <c r="E52" s="19">
        <v>5576.3</v>
      </c>
      <c r="F52" s="19">
        <v>3950</v>
      </c>
      <c r="G52" s="24">
        <f t="shared" si="3"/>
        <v>3622.1</v>
      </c>
      <c r="H52" s="24">
        <v>-2300</v>
      </c>
      <c r="J52" s="24">
        <f t="shared" si="4"/>
        <v>1322.1</v>
      </c>
    </row>
    <row r="53" spans="1:10">
      <c r="A53" s="25" t="s">
        <v>72</v>
      </c>
      <c r="B53" s="26">
        <f>SUM(B23:B52)</f>
        <v>13255.460000000001</v>
      </c>
      <c r="C53" s="26">
        <f>SUM(C23:C52)</f>
        <v>9442.380000000001</v>
      </c>
      <c r="D53" s="26">
        <f>SUM(D23:D52)</f>
        <v>11969.410000000002</v>
      </c>
      <c r="E53" s="26">
        <f t="shared" ref="E53:J53" si="5">SUM(E23:E52)</f>
        <v>15877.64</v>
      </c>
      <c r="F53" s="26">
        <f t="shared" si="5"/>
        <v>12740.39</v>
      </c>
      <c r="G53" s="26">
        <f t="shared" si="5"/>
        <v>13529.146666666667</v>
      </c>
      <c r="H53" s="26">
        <f t="shared" si="5"/>
        <v>-1208.01</v>
      </c>
      <c r="J53" s="26">
        <f t="shared" si="5"/>
        <v>12321.136666666667</v>
      </c>
    </row>
    <row r="54" spans="1:10">
      <c r="G54" s="19"/>
      <c r="H54" s="19"/>
      <c r="J54" s="19"/>
    </row>
    <row r="55" spans="1:10" s="27" customFormat="1">
      <c r="A55" s="27" t="s">
        <v>95</v>
      </c>
      <c r="B55" s="28">
        <f>B20-B53</f>
        <v>-3012.4800000000014</v>
      </c>
      <c r="C55" s="28">
        <f t="shared" ref="C55:J55" si="6">C20-C53</f>
        <v>1307.0499999999993</v>
      </c>
      <c r="D55" s="28">
        <f t="shared" si="6"/>
        <v>5210.4699999999957</v>
      </c>
      <c r="E55" s="28">
        <f t="shared" si="6"/>
        <v>3848.1699999999983</v>
      </c>
      <c r="F55" s="28">
        <f t="shared" si="6"/>
        <v>367.77000000000044</v>
      </c>
      <c r="G55" s="28">
        <f t="shared" si="6"/>
        <v>3142.136666666669</v>
      </c>
      <c r="H55" s="28">
        <f t="shared" si="6"/>
        <v>-2539.6833333333334</v>
      </c>
      <c r="I55"/>
      <c r="J55" s="28">
        <f t="shared" si="6"/>
        <v>602.45333333333474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CBRE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jdoyle</dc:creator>
  <cp:lastModifiedBy>Andrea Doyle</cp:lastModifiedBy>
  <cp:lastPrinted>2018-11-05T00:57:17Z</cp:lastPrinted>
  <dcterms:created xsi:type="dcterms:W3CDTF">2015-03-22T23:42:29Z</dcterms:created>
  <dcterms:modified xsi:type="dcterms:W3CDTF">2019-07-28T15:42:11Z</dcterms:modified>
</cp:coreProperties>
</file>